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nel\ownCloud\ICCEE temporär\WP3_Tools_incl_Translation_20210426\Tool#5_NEB\"/>
    </mc:Choice>
  </mc:AlternateContent>
  <workbookProtection lockStructure="1"/>
  <bookViews>
    <workbookView xWindow="0" yWindow="0" windowWidth="19200" windowHeight="8250"/>
  </bookViews>
  <sheets>
    <sheet name="Info" sheetId="14" r:id="rId1"/>
    <sheet name="Identification" sheetId="23" r:id="rId2"/>
    <sheet name="Analysis" sheetId="24" r:id="rId3"/>
    <sheet name="Hidden_Lists" sheetId="20" state="hidden" r:id="rId4"/>
    <sheet name="Hidden_Translations" sheetId="16" state="hidden" r:id="rId5"/>
    <sheet name="Hidden_Versions" sheetId="19" state="hidden" r:id="rId6"/>
  </sheets>
  <definedNames>
    <definedName name="_xlnm.Print_Area" localSheetId="2">Analysis!$A$1:$G$50</definedName>
    <definedName name="_xlnm.Print_Area" localSheetId="1">Identification!$A$1:$K$100</definedName>
    <definedName name="_xlnm.Print_Area" localSheetId="0">Info!$A$1:$J$26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24" l="1"/>
  <c r="C36" i="23" l="1"/>
  <c r="A36" i="23" l="1"/>
  <c r="B96" i="23" l="1"/>
  <c r="B95" i="23"/>
  <c r="B94" i="23"/>
  <c r="A94" i="23"/>
  <c r="C93" i="23"/>
  <c r="C94" i="23" s="1"/>
  <c r="B93" i="23"/>
  <c r="A93" i="23"/>
  <c r="B92" i="23"/>
  <c r="B91" i="23"/>
  <c r="B90" i="23"/>
  <c r="B89" i="23"/>
  <c r="C86" i="23"/>
  <c r="C89" i="23" s="1"/>
  <c r="B85" i="23"/>
  <c r="B86" i="23" s="1"/>
  <c r="B84" i="23"/>
  <c r="B83" i="23"/>
  <c r="B82" i="23"/>
  <c r="C81" i="23"/>
  <c r="B81" i="23"/>
  <c r="A81" i="23"/>
  <c r="C68" i="23"/>
  <c r="B68" i="23"/>
  <c r="B71" i="23" s="1"/>
  <c r="A68" i="23"/>
  <c r="C67" i="23"/>
  <c r="B67" i="23"/>
  <c r="A67" i="23"/>
  <c r="A61" i="23"/>
  <c r="A58" i="23"/>
  <c r="C46" i="23"/>
  <c r="B36" i="23"/>
  <c r="A95" i="23" l="1"/>
  <c r="A96" i="23" s="1"/>
  <c r="C95" i="23"/>
  <c r="C96" i="23" s="1"/>
  <c r="C97" i="23" s="1"/>
  <c r="C90" i="23"/>
  <c r="C91" i="23" s="1"/>
  <c r="C92" i="23" s="1"/>
  <c r="A82" i="23"/>
  <c r="C82" i="23"/>
  <c r="C83" i="23" s="1"/>
  <c r="A71" i="23"/>
  <c r="A72" i="23" s="1"/>
  <c r="C71" i="23"/>
  <c r="A62" i="23"/>
  <c r="A63" i="23" s="1"/>
  <c r="C47" i="23"/>
  <c r="C48" i="23" s="1"/>
  <c r="A98" i="23"/>
  <c r="B97" i="23"/>
  <c r="B98" i="23"/>
  <c r="B99" i="23" s="1"/>
  <c r="B100" i="23" s="1"/>
  <c r="C98" i="23"/>
  <c r="C99" i="23" s="1"/>
  <c r="A99" i="23"/>
  <c r="A100" i="23" s="1"/>
  <c r="C62" i="23"/>
  <c r="C37" i="23"/>
  <c r="B37" i="23"/>
  <c r="A37" i="23"/>
  <c r="A83" i="23" l="1"/>
  <c r="C84" i="23"/>
  <c r="A73" i="23"/>
  <c r="A66" i="23"/>
  <c r="C51" i="23"/>
  <c r="C52" i="23" s="1"/>
  <c r="A38" i="23"/>
  <c r="C38" i="23"/>
  <c r="B38" i="23"/>
  <c r="B39" i="23"/>
  <c r="A84" i="23" l="1"/>
  <c r="A85" i="23"/>
  <c r="A86" i="23" s="1"/>
  <c r="A39" i="23"/>
  <c r="B40" i="23"/>
  <c r="C39" i="23"/>
  <c r="A40" i="23" l="1"/>
  <c r="A97" i="23"/>
  <c r="A89" i="23"/>
  <c r="C40" i="23"/>
  <c r="C41" i="23" s="1"/>
  <c r="B41" i="23"/>
  <c r="A42" i="23"/>
  <c r="A41" i="23" l="1"/>
  <c r="A90" i="23"/>
  <c r="A91" i="23"/>
  <c r="A92" i="23" s="1"/>
  <c r="C42" i="23"/>
  <c r="A43" i="23"/>
  <c r="A44" i="23"/>
  <c r="A46" i="23" s="1"/>
  <c r="A47" i="23" s="1"/>
  <c r="B42" i="23"/>
  <c r="C43" i="23"/>
  <c r="C53" i="23" s="1"/>
  <c r="C54" i="23" l="1"/>
  <c r="A45" i="23"/>
  <c r="C44" i="23"/>
  <c r="A48" i="23"/>
  <c r="C55" i="23"/>
  <c r="C56" i="23" s="1"/>
  <c r="B43" i="23"/>
  <c r="B46" i="23"/>
  <c r="C45" i="23" l="1"/>
  <c r="B44" i="23"/>
  <c r="C57" i="23"/>
  <c r="C58" i="23" s="1"/>
  <c r="C61" i="23" s="1"/>
  <c r="B47" i="23"/>
  <c r="B48" i="23"/>
  <c r="A51" i="23"/>
  <c r="A52" i="23" s="1"/>
  <c r="A53" i="23" s="1"/>
  <c r="B45" i="23"/>
  <c r="A74" i="23"/>
  <c r="C63" i="23"/>
  <c r="C66" i="23" l="1"/>
  <c r="A75" i="23"/>
  <c r="A54" i="23"/>
  <c r="A55" i="23"/>
  <c r="B51" i="23"/>
  <c r="B52" i="23" s="1"/>
  <c r="B72" i="23"/>
  <c r="C72" i="23"/>
  <c r="C8" i="16"/>
  <c r="B36" i="24" s="1"/>
  <c r="C23" i="14" l="1"/>
  <c r="B25" i="14"/>
  <c r="C25" i="14"/>
  <c r="C26" i="14"/>
  <c r="C10" i="14"/>
  <c r="B23" i="14"/>
  <c r="F99" i="23"/>
  <c r="B8" i="14"/>
  <c r="A76" i="23"/>
  <c r="B74" i="23"/>
  <c r="B73" i="23"/>
  <c r="A56" i="23"/>
  <c r="C73" i="23"/>
  <c r="B53" i="23"/>
  <c r="B54" i="23" s="1"/>
  <c r="C26" i="20"/>
  <c r="F29" i="24"/>
  <c r="F36" i="24" s="1"/>
  <c r="D27" i="24"/>
  <c r="B26" i="24"/>
  <c r="B19" i="24"/>
  <c r="B10" i="24"/>
  <c r="B43" i="24"/>
  <c r="E29" i="24"/>
  <c r="E36" i="24" s="1"/>
  <c r="D26" i="24"/>
  <c r="B24" i="24"/>
  <c r="G12" i="24"/>
  <c r="C43" i="24" s="1"/>
  <c r="B8" i="24"/>
  <c r="D29" i="24"/>
  <c r="D36" i="24" s="1"/>
  <c r="D24" i="24"/>
  <c r="B22" i="24"/>
  <c r="E12" i="24"/>
  <c r="C36" i="24" s="1"/>
  <c r="B6" i="24"/>
  <c r="G29" i="24"/>
  <c r="G36" i="24" s="1"/>
  <c r="B29" i="24"/>
  <c r="D22" i="24"/>
  <c r="B21" i="24"/>
  <c r="C12" i="24"/>
  <c r="C29" i="24" s="1"/>
  <c r="B4" i="24"/>
  <c r="C38" i="20"/>
  <c r="C33" i="20"/>
  <c r="C28" i="20"/>
  <c r="C37" i="20"/>
  <c r="C32" i="20"/>
  <c r="C27" i="20"/>
  <c r="D100" i="23"/>
  <c r="C36" i="20"/>
  <c r="B31" i="20"/>
  <c r="B35" i="20"/>
  <c r="C29" i="20"/>
  <c r="B25" i="20"/>
  <c r="F58" i="23"/>
  <c r="F92" i="23"/>
  <c r="D96" i="23"/>
  <c r="D92" i="23"/>
  <c r="F85" i="23"/>
  <c r="F81" i="23"/>
  <c r="D83" i="23"/>
  <c r="F77" i="23"/>
  <c r="F73" i="23"/>
  <c r="D77" i="23"/>
  <c r="D73" i="23"/>
  <c r="F67" i="23"/>
  <c r="D66" i="23"/>
  <c r="F95" i="23"/>
  <c r="F91" i="23"/>
  <c r="D99" i="23"/>
  <c r="D95" i="23"/>
  <c r="D91" i="23"/>
  <c r="F84" i="23"/>
  <c r="D86" i="23"/>
  <c r="D82" i="23"/>
  <c r="F76" i="23"/>
  <c r="F72" i="23"/>
  <c r="D76" i="23"/>
  <c r="D72" i="23"/>
  <c r="F66" i="23"/>
  <c r="F63" i="23"/>
  <c r="F94" i="23"/>
  <c r="F90" i="23"/>
  <c r="D98" i="23"/>
  <c r="D94" i="23"/>
  <c r="D90" i="23"/>
  <c r="F83" i="23"/>
  <c r="D85" i="23"/>
  <c r="D81" i="23"/>
  <c r="F75" i="23"/>
  <c r="F71" i="23"/>
  <c r="D75" i="23"/>
  <c r="D71" i="23"/>
  <c r="D68" i="23"/>
  <c r="F62" i="23"/>
  <c r="F93" i="23"/>
  <c r="F89" i="23"/>
  <c r="D97" i="23"/>
  <c r="D93" i="23"/>
  <c r="D89" i="23"/>
  <c r="F82" i="23"/>
  <c r="D84" i="23"/>
  <c r="F78" i="23"/>
  <c r="F74" i="23"/>
  <c r="D78" i="23"/>
  <c r="D74" i="23"/>
  <c r="F68" i="23"/>
  <c r="D67" i="23"/>
  <c r="F61" i="23"/>
  <c r="D62" i="23"/>
  <c r="F56" i="23"/>
  <c r="F52" i="23"/>
  <c r="D56" i="23"/>
  <c r="D52" i="23"/>
  <c r="D70" i="23"/>
  <c r="D61" i="23"/>
  <c r="F55" i="23"/>
  <c r="F51" i="23"/>
  <c r="D55" i="23"/>
  <c r="D51" i="23"/>
  <c r="F54" i="23"/>
  <c r="D58" i="23"/>
  <c r="D54" i="23"/>
  <c r="D88" i="23"/>
  <c r="D63" i="23"/>
  <c r="F57" i="23"/>
  <c r="F53" i="23"/>
  <c r="D57" i="23"/>
  <c r="D53" i="23"/>
  <c r="D80" i="23"/>
  <c r="F48" i="23"/>
  <c r="F44" i="23"/>
  <c r="F40" i="23"/>
  <c r="F36" i="23"/>
  <c r="D45" i="23"/>
  <c r="D41" i="23"/>
  <c r="D37" i="23"/>
  <c r="K33" i="23"/>
  <c r="H32" i="23"/>
  <c r="F30" i="23"/>
  <c r="F26" i="23"/>
  <c r="D24" i="23"/>
  <c r="D18" i="23"/>
  <c r="D10" i="23"/>
  <c r="D65" i="23"/>
  <c r="F47" i="23"/>
  <c r="F43" i="23"/>
  <c r="F39" i="23"/>
  <c r="D48" i="23"/>
  <c r="D44" i="23"/>
  <c r="D40" i="23"/>
  <c r="D36" i="23"/>
  <c r="J33" i="23"/>
  <c r="G32" i="23"/>
  <c r="E30" i="23"/>
  <c r="E26" i="23"/>
  <c r="E24" i="23"/>
  <c r="D16" i="23"/>
  <c r="D8" i="23"/>
  <c r="D60" i="23"/>
  <c r="F46" i="23"/>
  <c r="F42" i="23"/>
  <c r="F38" i="23"/>
  <c r="D47" i="23"/>
  <c r="D43" i="23"/>
  <c r="D39" i="23"/>
  <c r="I35" i="23"/>
  <c r="I33" i="23"/>
  <c r="F32" i="23"/>
  <c r="E28" i="23"/>
  <c r="E20" i="23"/>
  <c r="D22" i="23"/>
  <c r="D13" i="23"/>
  <c r="D6" i="23"/>
  <c r="D50" i="23"/>
  <c r="F45" i="23"/>
  <c r="F41" i="23"/>
  <c r="F37" i="23"/>
  <c r="D46" i="23"/>
  <c r="D42" i="23"/>
  <c r="D38" i="23"/>
  <c r="D35" i="23"/>
  <c r="I32" i="23"/>
  <c r="D32" i="23"/>
  <c r="F28" i="23"/>
  <c r="D20" i="23"/>
  <c r="E22" i="23"/>
  <c r="D12" i="23"/>
  <c r="D4" i="23"/>
  <c r="E8" i="19"/>
  <c r="B6" i="19"/>
  <c r="D2" i="23"/>
  <c r="B2" i="16"/>
  <c r="D8" i="19"/>
  <c r="B4" i="19"/>
  <c r="B2" i="19"/>
  <c r="B2" i="20"/>
  <c r="B2" i="24"/>
  <c r="C8" i="19"/>
  <c r="B8" i="19"/>
  <c r="B16" i="14"/>
  <c r="B14" i="14"/>
  <c r="B4" i="14"/>
  <c r="C16" i="14"/>
  <c r="B2" i="14"/>
  <c r="E18" i="14"/>
  <c r="C14" i="14"/>
  <c r="B6" i="14"/>
  <c r="B18" i="14"/>
  <c r="E20" i="14"/>
  <c r="B12" i="14"/>
  <c r="E21" i="14"/>
  <c r="C74" i="23" l="1"/>
  <c r="A77" i="23"/>
  <c r="B75" i="23"/>
  <c r="A57" i="23"/>
  <c r="B55" i="23"/>
  <c r="B56" i="23" s="1"/>
  <c r="C75" i="23"/>
  <c r="C76" i="23"/>
  <c r="D43" i="24"/>
  <c r="E43" i="24"/>
  <c r="G43" i="24"/>
  <c r="F43" i="24"/>
  <c r="A78" i="23" l="1"/>
  <c r="B76" i="23"/>
  <c r="B58" i="23"/>
  <c r="B57" i="23"/>
  <c r="C77" i="23"/>
  <c r="C78" i="23" s="1"/>
  <c r="C16" i="24" l="1"/>
  <c r="C33" i="24" s="1"/>
  <c r="D34" i="24"/>
  <c r="D32" i="24"/>
  <c r="D31" i="24"/>
  <c r="D33" i="24"/>
  <c r="C14" i="24"/>
  <c r="C31" i="24" s="1"/>
  <c r="C15" i="24"/>
  <c r="C32" i="24" s="1"/>
  <c r="C17" i="24"/>
  <c r="C34" i="24" s="1"/>
  <c r="C13" i="24"/>
  <c r="C30" i="24" s="1"/>
  <c r="C85" i="23"/>
  <c r="C100" i="23" s="1"/>
  <c r="D44" i="24" s="1"/>
  <c r="A34" i="23"/>
  <c r="B77" i="23"/>
  <c r="B78" i="23" s="1"/>
  <c r="B61" i="23"/>
  <c r="B62" i="23"/>
  <c r="D45" i="24" l="1"/>
  <c r="D46" i="24"/>
  <c r="D47" i="24"/>
  <c r="D48" i="24"/>
  <c r="G15" i="24"/>
  <c r="C46" i="24" s="1"/>
  <c r="G13" i="24"/>
  <c r="C44" i="24" s="1"/>
  <c r="G17" i="24"/>
  <c r="C48" i="24" s="1"/>
  <c r="G16" i="24"/>
  <c r="C47" i="24" s="1"/>
  <c r="G14" i="24"/>
  <c r="C45" i="24" s="1"/>
  <c r="C34" i="23"/>
  <c r="B63" i="23"/>
  <c r="B66" i="23" l="1"/>
  <c r="D38" i="24" s="1"/>
  <c r="D37" i="24" l="1"/>
  <c r="E17" i="24"/>
  <c r="C41" i="24" s="1"/>
  <c r="D41" i="24"/>
  <c r="D39" i="24"/>
  <c r="D40" i="24"/>
  <c r="E13" i="24"/>
  <c r="C37" i="24" s="1"/>
  <c r="E15" i="24"/>
  <c r="C39" i="24" s="1"/>
  <c r="E16" i="24"/>
  <c r="C40" i="24" s="1"/>
  <c r="E14" i="24"/>
  <c r="C38" i="24" s="1"/>
  <c r="B34" i="23"/>
  <c r="G34" i="23" s="1"/>
</calcChain>
</file>

<file path=xl/sharedStrings.xml><?xml version="1.0" encoding="utf-8"?>
<sst xmlns="http://schemas.openxmlformats.org/spreadsheetml/2006/main" count="1817" uniqueCount="1703">
  <si>
    <t>Relevant NEBs</t>
  </si>
  <si>
    <t xml:space="preserve">Reduced malfunction or breakdown of machinery and equipment </t>
  </si>
  <si>
    <t>Number of breakdowns/defects</t>
  </si>
  <si>
    <t>Improved equipment performance</t>
  </si>
  <si>
    <t>Longer equipment life (due to reduced wear and tear)</t>
  </si>
  <si>
    <t xml:space="preserve">Cost of equipment - spending delayed </t>
  </si>
  <si>
    <t>Improved product quality /consistency</t>
  </si>
  <si>
    <t>Reduction of production losses - redo</t>
  </si>
  <si>
    <t>Increased production reliability (due to better control)</t>
  </si>
  <si>
    <t>Larger product range</t>
  </si>
  <si>
    <t>Number of additional products</t>
  </si>
  <si>
    <t>Reduced customer service costs (due to better quality)</t>
  </si>
  <si>
    <t>Improved flexibility of production</t>
  </si>
  <si>
    <t>Time-to-market - throughput time</t>
  </si>
  <si>
    <t>Reduced raw material need</t>
  </si>
  <si>
    <t>Reduced consumables</t>
  </si>
  <si>
    <t>Shorter production cycle (shorter process cycle time)</t>
  </si>
  <si>
    <t>Duration of production time</t>
  </si>
  <si>
    <t>Increased production volume</t>
  </si>
  <si>
    <t>Increased production yields</t>
  </si>
  <si>
    <t>Output total/input total</t>
  </si>
  <si>
    <t>Reduced waste heat</t>
  </si>
  <si>
    <t>Quantity (total or as % of production)</t>
  </si>
  <si>
    <t>Re-use of waste heat</t>
  </si>
  <si>
    <t>Quantity (% of total waste heat)</t>
  </si>
  <si>
    <t>Reduced hazardous waste</t>
  </si>
  <si>
    <t>Reduced water consumption</t>
  </si>
  <si>
    <t>Reduced sewage volume</t>
  </si>
  <si>
    <t>Reduced sewage pollution level</t>
  </si>
  <si>
    <t>Composition</t>
  </si>
  <si>
    <t>Reduced product waste</t>
  </si>
  <si>
    <t>Reduced other waste (e.g. non-hazardous consumables)</t>
  </si>
  <si>
    <t>Reduced dust emissions</t>
  </si>
  <si>
    <t>Reduced CO, CO2, NOx, SOx emissions</t>
  </si>
  <si>
    <t>Reduction of fluorinated (refrigerant) gases emissions</t>
  </si>
  <si>
    <t>Reduced maintenance cost</t>
  </si>
  <si>
    <t>Reduced machinery and equipment wear and tear</t>
  </si>
  <si>
    <t>Longer lifetime of equipment so reduced levelised costs machinery</t>
  </si>
  <si>
    <t>Reduced engineering control cost</t>
  </si>
  <si>
    <t>Technical control cost</t>
  </si>
  <si>
    <t>Reduced noise</t>
  </si>
  <si>
    <t>Air quality improvement</t>
  </si>
  <si>
    <t>Improved thermal comfort</t>
  </si>
  <si>
    <t>Well-being</t>
  </si>
  <si>
    <t>Improved visual comfort</t>
  </si>
  <si>
    <t>Well-being - productivity</t>
  </si>
  <si>
    <t xml:space="preserve">Improved workforce productivity </t>
  </si>
  <si>
    <t>Depend on the tasks (repetitive or not)</t>
  </si>
  <si>
    <t>Reduced absenteism</t>
  </si>
  <si>
    <t>Reduction of health costs</t>
  </si>
  <si>
    <t>Insurance premiums reduction</t>
  </si>
  <si>
    <t>Reduced need for protective equipment</t>
  </si>
  <si>
    <t>Cost of equipment</t>
  </si>
  <si>
    <t>Reduced risk of accident and occupational disease</t>
  </si>
  <si>
    <t>Number of accidents / year</t>
  </si>
  <si>
    <t>Reduced CO2 and energy price risks</t>
  </si>
  <si>
    <t>Price variability (based on ETS  or energy price forecasts)</t>
  </si>
  <si>
    <t>Reduced water price risk</t>
  </si>
  <si>
    <t>Reduced legal risk</t>
  </si>
  <si>
    <t>Reduced disruption of energy supply risk</t>
  </si>
  <si>
    <t>Reduced disruption of (other) supplies</t>
  </si>
  <si>
    <t>Increased installation safety</t>
  </si>
  <si>
    <t>Improved staff satisfaction and loyalty</t>
  </si>
  <si>
    <t>Reduced staff turnover</t>
  </si>
  <si>
    <t>Delayed or reduced capital expenditure</t>
  </si>
  <si>
    <t>Cost of equipment avoided</t>
  </si>
  <si>
    <t xml:space="preserve">Reduced insurance cost </t>
  </si>
  <si>
    <t xml:space="preserve">Insurance cost related to risk </t>
  </si>
  <si>
    <t>Additional space / Improved space utilisation</t>
  </si>
  <si>
    <t>Number of m2 saved</t>
  </si>
  <si>
    <t>Simplification &amp; automation of customs procedures</t>
  </si>
  <si>
    <t>Contribution to company's vision or strategy</t>
  </si>
  <si>
    <t>Improved image or reputation</t>
  </si>
  <si>
    <t>Increased knowledge of production/auxiliary processes</t>
  </si>
  <si>
    <t>Increased assets value</t>
  </si>
  <si>
    <t>Assets value</t>
  </si>
  <si>
    <t>Contribution to regulatory compliance/reporting</t>
  </si>
  <si>
    <t>X</t>
  </si>
  <si>
    <t>none</t>
  </si>
  <si>
    <t>high</t>
  </si>
  <si>
    <t>English (EN)</t>
  </si>
  <si>
    <t>Improving Cold Chain Energy Efficiency (ICCEE project)</t>
  </si>
  <si>
    <t>Language:</t>
  </si>
  <si>
    <t xml:space="preserve">Version: </t>
  </si>
  <si>
    <t xml:space="preserve">Aim: </t>
  </si>
  <si>
    <t>Target group:</t>
  </si>
  <si>
    <t>Supply chain managers &amp; environmental managers</t>
  </si>
  <si>
    <t>Color coding:</t>
  </si>
  <si>
    <t>Field is an input field and requires input the user.</t>
  </si>
  <si>
    <t>Information transferred from a different part of the workbook.</t>
  </si>
  <si>
    <t>Information calculated based on other values.</t>
  </si>
  <si>
    <t>Selected language column:</t>
  </si>
  <si>
    <t>ID</t>
  </si>
  <si>
    <t>Deutsch (DE)</t>
  </si>
  <si>
    <t>Italiano (IT)</t>
  </si>
  <si>
    <t>Español (ES)</t>
  </si>
  <si>
    <t>Français (FR)</t>
  </si>
  <si>
    <t>Latviešu valoda (LV)</t>
  </si>
  <si>
    <t>Română (RO)</t>
  </si>
  <si>
    <t>General_Header</t>
  </si>
  <si>
    <t>Energieeffizienz entlang der Kühlkette (ICCEE-Projekt)</t>
  </si>
  <si>
    <t>Info_Header</t>
  </si>
  <si>
    <t>Info_Header_Text</t>
  </si>
  <si>
    <t>Info_Language_Caption</t>
  </si>
  <si>
    <t>Sprache:</t>
  </si>
  <si>
    <t>Info_Version_Caption</t>
  </si>
  <si>
    <t>Info_Aim_Caption</t>
  </si>
  <si>
    <t xml:space="preserve">Ziel: </t>
  </si>
  <si>
    <t>Info_Aim_Text</t>
  </si>
  <si>
    <t>Info_Target_Caption</t>
  </si>
  <si>
    <t>Zielgruppe:</t>
  </si>
  <si>
    <t>Info_Target_Text</t>
  </si>
  <si>
    <t>Info_Coding_Caption</t>
  </si>
  <si>
    <t>Farbgebung:</t>
  </si>
  <si>
    <t>Info_Coding_User</t>
  </si>
  <si>
    <t>Das Feld ist ein Eingabefeld und benötigt eine Eingabe.</t>
  </si>
  <si>
    <t>Info_Coding_Transfer</t>
  </si>
  <si>
    <t>Information, die aus einem anderen Bereich der Arbeitsmappe übertragen wurde.</t>
  </si>
  <si>
    <t>Info_Coding_Calculated</t>
  </si>
  <si>
    <t>Information, die aus anderen Angaben abgeleitet wurde</t>
  </si>
  <si>
    <t>List</t>
  </si>
  <si>
    <t>Entry</t>
  </si>
  <si>
    <t>Languages</t>
  </si>
  <si>
    <t>Version history</t>
  </si>
  <si>
    <t>Date</t>
  </si>
  <si>
    <t>Version</t>
  </si>
  <si>
    <t>Change</t>
  </si>
  <si>
    <t>Change by</t>
  </si>
  <si>
    <t xml:space="preserve">This tool on non-energy benefits (NEBs) should serve as approach to discover the topic of NEBs in an exemplary manner. Energy efficiency measures (EEMs) can entail, additionally to the evident energy savings, non-energy related benefits, e.g. enhanced competitiveness, reduced maintenance requirements or an improved working environment. NEBs are easily underestimated, or even not considered, in the evaluation process of an energy saving project. </t>
  </si>
  <si>
    <t>The aim of this tool is to introduce possible NEBs of energy efficieny measures, their classification and their strategical assessement in the decision-making process of an EEM. Another focus of the tool is to assess NEBs not only from an individual company perspective but also along the whole cold supply chain.</t>
  </si>
  <si>
    <t>Strategic Importance</t>
  </si>
  <si>
    <t>quantitative</t>
  </si>
  <si>
    <t>qualitative</t>
  </si>
  <si>
    <t>Nature of data</t>
  </si>
  <si>
    <t>NEB in CSC</t>
  </si>
  <si>
    <t>Title of EEM</t>
  </si>
  <si>
    <t>Description</t>
  </si>
  <si>
    <t>Non-monetary value added from the EEM for the customer or employees. Increased value translates in additional income. E.g. customers want to buy more of the high-quality products.</t>
  </si>
  <si>
    <t>Monetary savings from the introduction of the EEM. EEMs can reduce costs in a company, well beyond the energy costs.</t>
  </si>
  <si>
    <t xml:space="preserve">Costs: </t>
  </si>
  <si>
    <t>#2: Importance</t>
  </si>
  <si>
    <t>#3: Analysis</t>
  </si>
  <si>
    <t>#1: Relevance</t>
  </si>
  <si>
    <t>(maximum of 5 per category)</t>
  </si>
  <si>
    <t>Area: Production &amp; products</t>
  </si>
  <si>
    <t>Area: Waste &amp; water</t>
  </si>
  <si>
    <t>Area: Gazeous emissions</t>
  </si>
  <si>
    <t>Area: Working environment</t>
  </si>
  <si>
    <t>Area: Others</t>
  </si>
  <si>
    <t>Area: Maintenance</t>
  </si>
  <si>
    <t>Area and non-energy benefit</t>
  </si>
  <si>
    <t>Area: Risk management</t>
  </si>
  <si>
    <t>Sample indicators</t>
  </si>
  <si>
    <t>Uncertainty in water price or years for which water price is contractually agreed with supplier</t>
  </si>
  <si>
    <t>Number of lawsuits or legal disputes</t>
  </si>
  <si>
    <t>Energy supply availability rate (e.g. electricity supply disruption rate)</t>
  </si>
  <si>
    <t>Number of incidents per year * average costs (or other impact) per incident</t>
  </si>
  <si>
    <t xml:space="preserve">Average number of years that employees work at the company </t>
  </si>
  <si>
    <t>Number of hours spend on procedures per year * wages/h</t>
  </si>
  <si>
    <t>Water - production volume (or in % of turnover)
(m3/y) * costs of water (in EUR/m3)</t>
  </si>
  <si>
    <t>Percent default pieces/pieces produced</t>
  </si>
  <si>
    <t>Percent of conformity to specifications/total of pieces produced</t>
  </si>
  <si>
    <t>low</t>
  </si>
  <si>
    <t>medium</t>
  </si>
  <si>
    <t>Strategic importance: Evaluate their importance to strategy by the appropriate selection (column H).</t>
  </si>
  <si>
    <t>Overview of prioritized NEBs for your EEM</t>
  </si>
  <si>
    <t>#</t>
  </si>
  <si>
    <t>Area: COSTS</t>
  </si>
  <si>
    <t>Number of particles/m2</t>
  </si>
  <si>
    <t>Employee satisfaction</t>
  </si>
  <si>
    <t>Expected impact on others in the cold supply chain</t>
  </si>
  <si>
    <t>Area: VALUE PROPOSITION</t>
  </si>
  <si>
    <t>Area: RISKS</t>
  </si>
  <si>
    <t>Define your energy efficiency measure</t>
  </si>
  <si>
    <t>Select relevant non-energy benefits</t>
  </si>
  <si>
    <t>Decibels* time of exposure</t>
  </si>
  <si>
    <t>Expected impact
 (e.g. in terms of Euro savings)</t>
  </si>
  <si>
    <t>Data source for indicator
(e.g. company department)</t>
  </si>
  <si>
    <t>Choose and describe a recently implemented EEM in your company if available. If no recent measures have been implemented choose a hypothetical measure on the basis of your experience. Please consider whether there are already implemented or planned energy saving projects in cooperation with other members of your cold supply chain that could be interesting for an evaluation.</t>
  </si>
  <si>
    <t>NEBs for value proposition increase</t>
  </si>
  <si>
    <t>NEBs for cost decrease</t>
  </si>
  <si>
    <t>NEBs for risk reduction</t>
  </si>
  <si>
    <t>In-depth analysis of your NEBs</t>
  </si>
  <si>
    <t xml:space="preserve">Key performance indicator (KPI): </t>
  </si>
  <si>
    <t>Data source for indicator:</t>
  </si>
  <si>
    <t>Expected impacts:</t>
  </si>
  <si>
    <t xml:space="preserve">Indicate the source of the data in the company, e.g. department (column E). </t>
  </si>
  <si>
    <t xml:space="preserve">KPIs are automatically pasted. Adapt to your own indicators to asses the NEB if necessary (column D).
</t>
  </si>
  <si>
    <t>Number of product recalls * cost of product recall</t>
  </si>
  <si>
    <t>Percent of raw materials of production volume
(in t/y) * costs of material (in EUR/t)</t>
  </si>
  <si>
    <t>Sickness absence days * cost per day</t>
  </si>
  <si>
    <t>Versions_Header</t>
  </si>
  <si>
    <t>Versions_Header_Text</t>
  </si>
  <si>
    <t>Versions_Table_Heading_Date</t>
  </si>
  <si>
    <t>Versions_Table_Heading_Version</t>
  </si>
  <si>
    <t>Versions_Table_Heading_Change</t>
  </si>
  <si>
    <t>Versions_Table_Heading_Changeby</t>
  </si>
  <si>
    <t>Hidden_Lists_Strategic</t>
  </si>
  <si>
    <t>Hidden_Lists_Nature</t>
  </si>
  <si>
    <t>Hidden_Lists_NEB</t>
  </si>
  <si>
    <t>Hidden_Lists_Strategic_none</t>
  </si>
  <si>
    <t>Hidden_Lists_Strategic_low</t>
  </si>
  <si>
    <t>Hidden_Lists_Strategic_medium</t>
  </si>
  <si>
    <t>Hidden_Lists_Strategic_high</t>
  </si>
  <si>
    <t>Hidden_Lists_Nature_quantitative</t>
  </si>
  <si>
    <t>Hidden_Lists_Nature_qualitative</t>
  </si>
  <si>
    <t>Hidden_Lists_NEB_none</t>
  </si>
  <si>
    <t>Hidden_Lists_NEB_low</t>
  </si>
  <si>
    <t>Hidden_Lists_NEB_high</t>
  </si>
  <si>
    <t>Datum</t>
  </si>
  <si>
    <t>Änderung</t>
  </si>
  <si>
    <t>Geändert durch</t>
  </si>
  <si>
    <t>Identification_Header</t>
  </si>
  <si>
    <t>Identification_Header_Text</t>
  </si>
  <si>
    <t>Energy efficiency measures (EEMs) can entail, additionally to the evident energy savings, non-energy related benefits (NEBs), such as enhanced competitiveness, reduced maintenance requirements or an improved working environment. A sample cold supply chain consists of several stages from the raw material supplier to the retailer. In the following you are invited to analyze an exemplary EEM implemented in your company or cold chain and consider the positive effects for you and other stages of your chain.</t>
  </si>
  <si>
    <t>Identification_Define</t>
  </si>
  <si>
    <t>Identification_Define_Text</t>
  </si>
  <si>
    <t>Identification_Title</t>
  </si>
  <si>
    <t>Identification_Description</t>
  </si>
  <si>
    <t>Identification_Select</t>
  </si>
  <si>
    <t>Identification_Select_Text</t>
  </si>
  <si>
    <t>Identification_Relevance</t>
  </si>
  <si>
    <t>Identification_Relevance_Text</t>
  </si>
  <si>
    <t>Identification_Importance</t>
  </si>
  <si>
    <t>Identification_Importance_Text</t>
  </si>
  <si>
    <t>Identification_Analysis</t>
  </si>
  <si>
    <t>Identification_Analysis_Text</t>
  </si>
  <si>
    <t xml:space="preserve">Risks: </t>
  </si>
  <si>
    <t xml:space="preserve">EEMs can entail a reduction of important risks translating in value proposition increase and cost decrease. E.g. reduced risk of staff illness or production </t>
  </si>
  <si>
    <t>Identification_Analysis_Costs</t>
  </si>
  <si>
    <t>Identification_Analysis_Value</t>
  </si>
  <si>
    <t>Identification_Analysis_Risks</t>
  </si>
  <si>
    <t>Identification_Analysis_Costs_Text</t>
  </si>
  <si>
    <t>Identification_Analysis_Value_Text</t>
  </si>
  <si>
    <t>Identification_Analysis_Risks_Text</t>
  </si>
  <si>
    <t>Identification_Sample</t>
  </si>
  <si>
    <t>Identification_Step1</t>
  </si>
  <si>
    <t>Identification_Step2</t>
  </si>
  <si>
    <t>Identification_Step3</t>
  </si>
  <si>
    <t>Identification_maximum</t>
  </si>
  <si>
    <t>Identification_Area</t>
  </si>
  <si>
    <t>Identification_Area2</t>
  </si>
  <si>
    <t>Identification_Area2_Text1</t>
  </si>
  <si>
    <t>Identification_Area2_Text2</t>
  </si>
  <si>
    <t>Identification_Area2_Text3</t>
  </si>
  <si>
    <t>Identification_Area2_Text4</t>
  </si>
  <si>
    <t>Identification_Area2_Text5</t>
  </si>
  <si>
    <t>Identification_Area2_Text6</t>
  </si>
  <si>
    <t>Identification_Area2_Text7</t>
  </si>
  <si>
    <t>Identification_Area2_Text8</t>
  </si>
  <si>
    <t>Identification_Area1</t>
  </si>
  <si>
    <t>Identification_Area1_Text1</t>
  </si>
  <si>
    <t>Identification_Area1_Text2</t>
  </si>
  <si>
    <t>Identification_Area1_Text3</t>
  </si>
  <si>
    <t>Identification_Area1_Text4</t>
  </si>
  <si>
    <t>Identification_Area1_Text5</t>
  </si>
  <si>
    <t>Identification_Area1_Text6</t>
  </si>
  <si>
    <t>Identification_Area1_Text7</t>
  </si>
  <si>
    <t>Identification_Area1_Text8</t>
  </si>
  <si>
    <t>Identification_Area1_Text9</t>
  </si>
  <si>
    <t>Identification_Area1_Text10</t>
  </si>
  <si>
    <t>Identification_Area1_Text11</t>
  </si>
  <si>
    <t>Identification_Area1_Text12</t>
  </si>
  <si>
    <t>Identification_Area1_Text13</t>
  </si>
  <si>
    <t>Identification_Sample1_Text1</t>
  </si>
  <si>
    <t>Identification_Sample1_Text2</t>
  </si>
  <si>
    <t>Identification_Sample1_Text3</t>
  </si>
  <si>
    <t>Identification_Sample1_Text4</t>
  </si>
  <si>
    <t>Identification_Sample1_Text5</t>
  </si>
  <si>
    <t>Identification_Sample1_Text6</t>
  </si>
  <si>
    <t>Identification_Sample1_Text7</t>
  </si>
  <si>
    <t>Identification_Sample1_Text8</t>
  </si>
  <si>
    <t>Identification_Sample1_Text9</t>
  </si>
  <si>
    <t>Identification_Sample1_Text10</t>
  </si>
  <si>
    <t>Identification_Sample1_Text11</t>
  </si>
  <si>
    <t>Identification_Sample1_Text12</t>
  </si>
  <si>
    <t>Identification_Sample1_Text13</t>
  </si>
  <si>
    <t>Identification_Sample2_Text1</t>
  </si>
  <si>
    <t>Identification_Sample2_Text2</t>
  </si>
  <si>
    <t>Identification_Sample2_Text3</t>
  </si>
  <si>
    <t>Identification_Sample2_Text4</t>
  </si>
  <si>
    <t>Identification_Sample2_Text5</t>
  </si>
  <si>
    <t>Identification_Sample2_Text6</t>
  </si>
  <si>
    <t>Identification_Sample2_Text7</t>
  </si>
  <si>
    <t>Identification_Area3</t>
  </si>
  <si>
    <t>Identification_Area3_Text1</t>
  </si>
  <si>
    <t>Identification_Area3_Text2</t>
  </si>
  <si>
    <t>Identification_Area3_Text3</t>
  </si>
  <si>
    <t>Identification_Area4</t>
  </si>
  <si>
    <t>Identification_Sample4_Text1</t>
  </si>
  <si>
    <t>Identification_Sample4_Text2</t>
  </si>
  <si>
    <t>Identification_Sample4_Text3</t>
  </si>
  <si>
    <t>Identification_Area4_Text1</t>
  </si>
  <si>
    <t>Identification_Area4_Text2</t>
  </si>
  <si>
    <t>Identification_Area4_Text3</t>
  </si>
  <si>
    <t>Identification_Area5</t>
  </si>
  <si>
    <t>Identification_Area5_Text1</t>
  </si>
  <si>
    <t>Identification_Area5_Text2</t>
  </si>
  <si>
    <t>Identification_Area5_Text3</t>
  </si>
  <si>
    <t>Identification_Area5_Text4</t>
  </si>
  <si>
    <t>Identification_Area5_Text5</t>
  </si>
  <si>
    <t>Identification_Area5_Text6</t>
  </si>
  <si>
    <t>Identification_Area5_Text7</t>
  </si>
  <si>
    <t>Identification_Area5_Text8</t>
  </si>
  <si>
    <t>Identification_Sample5_Text1</t>
  </si>
  <si>
    <t>Identification_Sample5_Text2</t>
  </si>
  <si>
    <t>Identification_Sample5_Text3</t>
  </si>
  <si>
    <t>Identification_Sample5_Text4</t>
  </si>
  <si>
    <t>Identification_Sample5_Text5</t>
  </si>
  <si>
    <t>Identification_Sample5_Text6</t>
  </si>
  <si>
    <t>Identification_Sample5_Text7</t>
  </si>
  <si>
    <t>Identification_Sample5_Text8</t>
  </si>
  <si>
    <t>Identification_Area6</t>
  </si>
  <si>
    <t>Identification_Area6_Text1</t>
  </si>
  <si>
    <t>Identification_Area6_Text2</t>
  </si>
  <si>
    <t>Identification_Area6_Text3</t>
  </si>
  <si>
    <t>Identification_Area6_Text4</t>
  </si>
  <si>
    <t>Identification_Area6_Text5</t>
  </si>
  <si>
    <t>Identification_Area6_Text6</t>
  </si>
  <si>
    <t>Identification_Sample6_Text1</t>
  </si>
  <si>
    <t>Identification_Sample6_Text2</t>
  </si>
  <si>
    <t>Identification_Sample6_Text3</t>
  </si>
  <si>
    <t>Identification_Sample6_Text4</t>
  </si>
  <si>
    <t>Identification_Sample6_Text5</t>
  </si>
  <si>
    <t>Identification_Area7</t>
  </si>
  <si>
    <t>Identification_Area7_Text1</t>
  </si>
  <si>
    <t>Identification_Area7_Text2</t>
  </si>
  <si>
    <t>Identification_Area7_Text3</t>
  </si>
  <si>
    <t>Identification_Area7_Text4</t>
  </si>
  <si>
    <t>Identification_Area7_Text5</t>
  </si>
  <si>
    <t>Identification_Area7_Text6</t>
  </si>
  <si>
    <t>Identification_Area7_Text7</t>
  </si>
  <si>
    <t>Identification_Area7_Text8</t>
  </si>
  <si>
    <t>Identification_Area7_Text9</t>
  </si>
  <si>
    <t>Identification_Area7_Text10</t>
  </si>
  <si>
    <t>Identification_Area7_Text11</t>
  </si>
  <si>
    <t>Identification_Area7_Text12</t>
  </si>
  <si>
    <t>Identification_Sample7_Text1</t>
  </si>
  <si>
    <t>Identification_Sample7_Text2</t>
  </si>
  <si>
    <t>Identification_Sample7_Text3</t>
  </si>
  <si>
    <t>Identification_Sample7_Text4</t>
  </si>
  <si>
    <t>Identification_Sample7_Text5</t>
  </si>
  <si>
    <t>Identification_Sample7_Text6</t>
  </si>
  <si>
    <t>Identification_Sample7_Text7</t>
  </si>
  <si>
    <t>Identification_Sample7_Text8</t>
  </si>
  <si>
    <t>Identification_Sample3_Text</t>
  </si>
  <si>
    <t>Identification_Warning</t>
  </si>
  <si>
    <t>Please only select up to five NEBs per category</t>
  </si>
  <si>
    <t>Analysis_Header</t>
  </si>
  <si>
    <t>Analysis_Header_Text</t>
  </si>
  <si>
    <t>Start a detailed analysis for your chosen and prioritized NEBs. Try to assess them in a qualitative or quantitative way and monetise them if possible. To which extent are other stages in your cold supply chain affected by the NEB?</t>
  </si>
  <si>
    <t>Analysis_Overview</t>
  </si>
  <si>
    <t>Analysis_Overview_Text</t>
  </si>
  <si>
    <t>Analysis_NEBs_Cost</t>
  </si>
  <si>
    <t>Analysis_NEBs_Value</t>
  </si>
  <si>
    <t>Analysis_NEBs_Risk</t>
  </si>
  <si>
    <t>Analysis_Indepth</t>
  </si>
  <si>
    <t>For your identified and classified NEBs: Please try to assess the parameters in the table below.</t>
  </si>
  <si>
    <t>Analysis_Indepth_Text</t>
  </si>
  <si>
    <t>Analysis_Indepth_Key</t>
  </si>
  <si>
    <t>Analysis_Indepth_Data</t>
  </si>
  <si>
    <t>Analysis_Indepth_Key_Text</t>
  </si>
  <si>
    <t>Analysis_Indepth_Data_Text</t>
  </si>
  <si>
    <t>Analysis_Indepth_Impacts</t>
  </si>
  <si>
    <t>Analysis_Indepth_Impacts_Text1</t>
  </si>
  <si>
    <t>Analysis_Indepth_Impacts_Text2</t>
  </si>
  <si>
    <t>Analysis_Area_Costs</t>
  </si>
  <si>
    <t>Indicate if and how other stages of the cold supply chain/ other partners do also profit from the NEB (column G).</t>
  </si>
  <si>
    <t>Key performance indicator 
(overwrite if needed)</t>
  </si>
  <si>
    <t>Analysis_Area_Costs_Key</t>
  </si>
  <si>
    <t>Analysis_Area_Costs_Data</t>
  </si>
  <si>
    <t>Analysis_Area_Costs_Impact1</t>
  </si>
  <si>
    <t>Analysis_Area_Costs_Impact2</t>
  </si>
  <si>
    <t>Analysis_Area_Value</t>
  </si>
  <si>
    <t>Analysis_Area_Risks</t>
  </si>
  <si>
    <t>Hidden_Lists_Header</t>
  </si>
  <si>
    <t xml:space="preserve">Reduzierte Fehlfunktion oder Ausfall von Maschinen und Anlagen </t>
  </si>
  <si>
    <t>Verbesserte Anlagenleistung</t>
  </si>
  <si>
    <t>Längere Lebensdauer der Geräte (durch geringeren Verschleiß)</t>
  </si>
  <si>
    <t xml:space="preserve">Verbesserte Produktqualität / -konsistenz
</t>
  </si>
  <si>
    <t>Erhöhte Produktionssicherheit (durch bessere Kontrolle)</t>
  </si>
  <si>
    <t>Größere Produktpalette</t>
  </si>
  <si>
    <t>Reduzierte Kosten für den Kundenservice (durch bessere Qualität)</t>
  </si>
  <si>
    <t>Verbesserte Flexibilität der Produktion</t>
  </si>
  <si>
    <t>Reduzierter Rohstoffbedarf</t>
  </si>
  <si>
    <t>Reduzierte Verbrauchsmaterialien</t>
  </si>
  <si>
    <t>Kürzerer Produktionszyklus (kürzere Prozesszykluszeit)</t>
  </si>
  <si>
    <t>Erhöhtes Produktionsvolumen</t>
  </si>
  <si>
    <t>Erhöhte Produktionserträge</t>
  </si>
  <si>
    <t>Bereich: Produktion &amp; Produkte</t>
  </si>
  <si>
    <t>Anzahl der Ausfälle/Fehler</t>
  </si>
  <si>
    <t>% Standardstücke/Stücke produziert</t>
  </si>
  <si>
    <t xml:space="preserve">Ausrüstungskosten - verzögerte Ausgaben </t>
  </si>
  <si>
    <t>Reduzierung von Produktionsausfällen - Redo</t>
  </si>
  <si>
    <t xml:space="preserve">Prozentualer Anteil der Konformität mit den Spezifikationen/Gesamtheit der produzierten Teile
</t>
  </si>
  <si>
    <t>Anzahl zusätzlicher Produkte</t>
  </si>
  <si>
    <t>Anzahl der Produktrückrufe * Kosten für den Produktrückruf</t>
  </si>
  <si>
    <t>Time-to-Market - Durchlaufzeit</t>
  </si>
  <si>
    <t>Dauer der Produktionszeit</t>
  </si>
  <si>
    <t>Output gesamt/input gesamt</t>
  </si>
  <si>
    <t>Bereich: Abfall &amp; Wasser</t>
  </si>
  <si>
    <t>Reduzierte Abwärme</t>
  </si>
  <si>
    <t>Abwärmenutzung</t>
  </si>
  <si>
    <t>Reduzierter Sondermüll</t>
  </si>
  <si>
    <t>Reduzierter Wasserverbrauch</t>
  </si>
  <si>
    <t>Reduziertes Abwasseraufkommen</t>
  </si>
  <si>
    <t>Reduzierte Abwasserbelastung</t>
  </si>
  <si>
    <t>Reduzierte Produktverschwendung</t>
  </si>
  <si>
    <t>Reduzierung anderer Abfälle (z.B. nicht gefährliche Verbrauchsmaterialien)</t>
  </si>
  <si>
    <t>Menge (insgesamt oder in % der Produktion)</t>
  </si>
  <si>
    <t>Menge (% der gesamten Abwärme)</t>
  </si>
  <si>
    <t>Wasser - Produktionsmenge (oder in % des Umsatzes)
(m3/Jahr) * Wasserkosten (in EUR/m3)</t>
  </si>
  <si>
    <t>Zusammensetzung</t>
  </si>
  <si>
    <t>Bereich: Gasförmige Emissionen</t>
  </si>
  <si>
    <t>Reduzierte Staubemissionen</t>
  </si>
  <si>
    <t>Reduzierte CO-, CO2-, NOx- und SOx-Emissionen</t>
  </si>
  <si>
    <t>Reduzierung der Emissionen fluorierter (Kältemittel) Gase</t>
  </si>
  <si>
    <t>Bereich: Wartung</t>
  </si>
  <si>
    <t>Reduzierte Wartungskosten</t>
  </si>
  <si>
    <t>Reduzierter Verschleiß von Maschinen und Anlagen</t>
  </si>
  <si>
    <t>Reduzierte Kosten für die technische Kontrolle</t>
  </si>
  <si>
    <t>Längere Lebensdauer der Anlagen, dadurch reduzierte Kosten für Maschinen</t>
  </si>
  <si>
    <t>Kosten der technischen Kontrolle</t>
  </si>
  <si>
    <t>Reduzierte Lärmbelastung</t>
  </si>
  <si>
    <t>Verbesserung der Luftqualität</t>
  </si>
  <si>
    <t>Verbesserter thermischer Komfort</t>
  </si>
  <si>
    <t>Verbesserter Sehkomfort</t>
  </si>
  <si>
    <t xml:space="preserve">Verbesserte Produktivität der Mitarbeiter </t>
  </si>
  <si>
    <t>Reduzierte Fehlzeiten</t>
  </si>
  <si>
    <t>Reduzierung der Gesundheitskosten</t>
  </si>
  <si>
    <t>Reduzierter Bedarf an Schutzausrüstung</t>
  </si>
  <si>
    <t>Bereich: Arbeitsumgebung</t>
  </si>
  <si>
    <t>Dezibel * Expositionsdauer</t>
  </si>
  <si>
    <t xml:space="preserve">Anzahl der Partikel /m2 </t>
  </si>
  <si>
    <t>Wohlbefinden</t>
  </si>
  <si>
    <t>Wohlbefinden - Produktivität</t>
  </si>
  <si>
    <t>Abhängig von den Aufgaben (repetitiv oder nicht)</t>
  </si>
  <si>
    <t>Abwesenheitstage bei Krankheit * Kosten pro Tag</t>
  </si>
  <si>
    <t>Senkung der Versicherungsprämien</t>
  </si>
  <si>
    <t>Kosten der Ausrüstung</t>
  </si>
  <si>
    <t>Bereich: Risikominderung</t>
  </si>
  <si>
    <t>Reduziertes Risiko von Unfällen und Berufskrankheiten</t>
  </si>
  <si>
    <t>Reduzierte CO2- und Energiepreisrisiken</t>
  </si>
  <si>
    <t>Reduziertes Wasserpreisrisiko</t>
  </si>
  <si>
    <t>Reduziertes Rechtsrisiko</t>
  </si>
  <si>
    <t>Reduziertes Risiko von Unterbrechungen der Energieversorgung</t>
  </si>
  <si>
    <t>Reduziertes Risiko von Unterbrechungen (anderer) Versorgungen</t>
  </si>
  <si>
    <t>Anzahl der Unfälle / Jahr</t>
  </si>
  <si>
    <t>Preisvariabilität (basierend auf ETS oder Energiepreisprognosen)</t>
  </si>
  <si>
    <t>Anzahl der Klagen oder Rechtsstreitigkeiten</t>
  </si>
  <si>
    <t>Verfügbarkeitsrate der Energieversorgung (z.B. Ausfallrate der Stromversorgung)</t>
  </si>
  <si>
    <t>Bereich: Andere</t>
  </si>
  <si>
    <t>Erhöhte Installationssicherheit</t>
  </si>
  <si>
    <t>Verbesserte Mitarbeiterzufriedenheit und -bindung</t>
  </si>
  <si>
    <t>Reduzierte Personalfluktuation</t>
  </si>
  <si>
    <t>Verspätete oder reduzierte Investitionen</t>
  </si>
  <si>
    <t xml:space="preserve">Reduzierte Versicherungskosten </t>
  </si>
  <si>
    <t>Zusätzlicher Platz / Verbesserte Raumnutzung</t>
  </si>
  <si>
    <t>Vereinfachung und Automatisierung der Zollverfahren</t>
  </si>
  <si>
    <t>Beitrag zur Vision oder Strategie des Unternehmens</t>
  </si>
  <si>
    <t>Verbessertes Image oder Reputation</t>
  </si>
  <si>
    <t>Erweitertes Wissen über Produktions-/Hilfsprozesse</t>
  </si>
  <si>
    <t>Wertsteigerung des Vermögens/ Sachwertes</t>
  </si>
  <si>
    <t>Beitrag zur Einhaltung gesetzlicher Vorschriften/Berichterstattung (Compliance)</t>
  </si>
  <si>
    <t>Anzahl der Vorfälle pro Jahr * durchschnittliche Kosten (oder andere Auswirkungen) pro Vorfall</t>
  </si>
  <si>
    <t>durchschnittliche Anzahl der Jahre, die Mitarbeiter im Unternehmen arbeiten</t>
  </si>
  <si>
    <t xml:space="preserve">Mitarbeiterzufriedenheit </t>
  </si>
  <si>
    <t>Vermiedene Equipmentkosten</t>
  </si>
  <si>
    <t>Versicherungskosten bezogen auf das Risiko</t>
  </si>
  <si>
    <t>Anzahl der eingesparten m2</t>
  </si>
  <si>
    <t>Anzahl der Stunden, die pro Jahr für Verfahren aufgewendet werden * Löhne/h</t>
  </si>
  <si>
    <t>Vermögenswert / Sachwert</t>
  </si>
  <si>
    <t xml:space="preserve">Lieferkettenmanager &amp; Umweltverantwortliche </t>
  </si>
  <si>
    <t>Ziel dieses Tools ist es, dem Nutzer mögliche NEBs von Energieeffizienzmaßnahmen, ihre Klassifizierung und ihre strategische Bewertung im Entscheidungsprozess einer EEM näher zu bringen. Ein weiterer Schwerpunkt des Tools ist die Bewertung von NEBs nicht nur aus der Perspektive des einzelnen Unternehmens, sondern auch entlang der gesamten Kühlkette.</t>
  </si>
  <si>
    <t>Energieeffizienzmaßnahmen (EEMs) können zusätzlich zu den offensichtlichen Energieeinsparungen auch nicht-energetische Vorteile (NEBs) mit sich bringen, wie z.B. erhöhte Wettbewerbsfähigkeit, geringere Wartungsanforderungen oder eine verbesserte Arbeitsumgebung. Eine beispielhafte Kühlkette besteht aus mehreren Stufen vom Rohstofflieferanten bis zum Einzelhändler. Im Folgenden sind Sie eingeladen, eine in Ihrem Unternehmen oder Ihrer Kühlkette umgesetzte beispielhafte EEM zu analysieren und die positiven Auswirkungen für Sie und andere Stufen Ihrer Kette zu betrachten.</t>
  </si>
  <si>
    <t>Titel der EEM</t>
  </si>
  <si>
    <t>Beschreibung</t>
  </si>
  <si>
    <t>Auswahl relevanter nicht-energetischer Vorteile</t>
  </si>
  <si>
    <t xml:space="preserve">For your chosen EEM: Please go through the three steps below, i.e. identify relevant NEBs and evaluate and analyse their importance for the strategy of your company respectively cold supply chain. </t>
  </si>
  <si>
    <t>#1: Relevanz</t>
  </si>
  <si>
    <t xml:space="preserve">Relevant NEBs: Please go through the list of NEBs along with suggested indicators and select those relevant for your EEM by an 'X' (column G). </t>
  </si>
  <si>
    <t>#2: Bedeutung</t>
  </si>
  <si>
    <t>Strategische Bedeutung: Bewerten Sie deren strategische Bedeutung durch die entsprechende Auswahl (Spalte H).</t>
  </si>
  <si>
    <t>#3: Analyse</t>
  </si>
  <si>
    <t>Kosten:</t>
  </si>
  <si>
    <t xml:space="preserve">Monetäre Einsparungen durch die Umsetzung von EEMs. EEMs können die Kosten eines Unternehmens weit über die Energiekosten hinaus senken.
</t>
  </si>
  <si>
    <t xml:space="preserve">Value proposition:  </t>
  </si>
  <si>
    <t>Risiken:</t>
  </si>
  <si>
    <t xml:space="preserve">EEMs können wichtige Risiken verringern, was zu einem erhöhten  Wertangebot und geringeren Kosten führt. Z.B. vermindertes Risiko von erkrankten Mitarbeitern oder Produktionsproblemen.
</t>
  </si>
  <si>
    <t>Bereich und nicht-energetischer Vorteil</t>
  </si>
  <si>
    <t>Vorschläge für Indikatoren</t>
  </si>
  <si>
    <t>Bitte wählen Sie nur bis zu fünf NEBs pro Kategorie</t>
  </si>
  <si>
    <t>(maximal 5 pro Kategorie)</t>
  </si>
  <si>
    <t>Führen Sie eine detaillierte Analyse für die von Ihnen ausgewählten und priorisierten NEBs durch. Versuchen Sie, diese qualitativ oder quantitativ zu bewerten und wenn möglich zu monetarisieren. Inwieweit sind andere Stufen in Ihrer Kühlkette von den NEBs betroffen?</t>
  </si>
  <si>
    <t>Übersicht der ausgewählten NEBs für Ihr EEM</t>
  </si>
  <si>
    <t>Below you find an overview of your previously identified NEBs classified by their contribution to the strategy according to value propostion increase, cost decrease and risk reduction for your EEM.</t>
  </si>
  <si>
    <t>NEBs zur Kostensenkung</t>
  </si>
  <si>
    <t>NEBs zur Erhöhung des Nutzenversprechens (value proposition)</t>
  </si>
  <si>
    <t>NEBs zur Risikominderung</t>
  </si>
  <si>
    <t>Detaillierte Analyse Ihrer NEBs</t>
  </si>
  <si>
    <t>Für Ihre identifizierten und klassifizierten NEBs: Bitte versuchen Sie, die Parameter in der nachstehenden Tabelle zu bewerten.</t>
  </si>
  <si>
    <t xml:space="preserve">Key Performance Indicator (KPI): </t>
  </si>
  <si>
    <t xml:space="preserve">KPIs werden automatisch eingefügt. Passen Sie ggf. Ihre eigenen Indikatoren an, um den NEB zu bewerten.
</t>
  </si>
  <si>
    <t>Datenquelle für den Indikator:</t>
  </si>
  <si>
    <t>Geben Sie die Quelle der Daten im Unternehmen an, z.B. Abteilung (Spalte E)</t>
  </si>
  <si>
    <t>Erwartete Auswirkungen:</t>
  </si>
  <si>
    <t xml:space="preserve">Indicate the impact of the NEB in qualitative or monetary terms if possible (column F).
</t>
  </si>
  <si>
    <t xml:space="preserve">Geben Sie, wenn möglich, die Auswirkungen des NEB in qualitativer oder monetärer Hinsicht an (Spalte F).
</t>
  </si>
  <si>
    <t xml:space="preserve">Geben Sie an, ob und wie andere Stufen der Kühlkette/andere Partner ebenfalls von dem NEB profitieren (Spalte G).
</t>
  </si>
  <si>
    <t>Bereich: KOSTEN</t>
  </si>
  <si>
    <t>Key Performance Indicator (KPI)
(bei Bedarf überschreiben)</t>
  </si>
  <si>
    <t>Datenquelle für Indikator
(z.B. Abteilung des Unternehmens)</t>
  </si>
  <si>
    <t xml:space="preserve">Erwartete Auswirkungen auf Andere in der Kühlkette
</t>
  </si>
  <si>
    <t>Bereich: Nutzenversprechen (value proposition)</t>
  </si>
  <si>
    <t>Bereich: Risiko</t>
  </si>
  <si>
    <t>Strategische Bedeutung</t>
  </si>
  <si>
    <t>keine</t>
  </si>
  <si>
    <t>gering</t>
  </si>
  <si>
    <t>mittel</t>
  </si>
  <si>
    <t>hoch</t>
  </si>
  <si>
    <t>Art der Daten</t>
  </si>
  <si>
    <t>quantitativ</t>
  </si>
  <si>
    <t>qualitativ</t>
  </si>
  <si>
    <t>NEB in Kühlkette</t>
  </si>
  <si>
    <t xml:space="preserve">Dieses Tool zu nicht-energetischen Vorteilen (NEBs) soll dazu dienen, das Thema der NEBs exemplarisch kennenzulernen. Energieeffizienzmaßnahmen (EEMs) können zusätzlich zu den offensichtlichen Energieeinsparungen auch nicht-energetische Vorteile mit sich bringen, z.B. eine erhöhte Wettbewerbsfähigkeit, geringere Wartungsanforderungen oder eine verbesserte Arbeitsumgebung. NEBs werden im Bewertungsprozess eines Energiesparprojekts leicht unterschätzt oder gar nicht berücksichtigt. </t>
  </si>
  <si>
    <t>Versionshistorie</t>
  </si>
  <si>
    <t xml:space="preserve">Definition Ihrer Energieeffizienzmaßnahme
</t>
  </si>
  <si>
    <t>Falls vorhanden, wählen Sie eine kürzlich in Ihrem Unternehmen umgesetzte Energieeffizienzmaßnahme aus. Wenn kürzlich keine Maßnahmen umgesetzt wurden, wählen Sie eine hypothetische Maßnahme auf der Grundlage Ihrer Erfahrungen.</t>
  </si>
  <si>
    <t>Für die von Ihnen gewählte EEM: Bitte gehen Sie die drei folgenden Schritte durch, d.h. identifizieren Sie relevante NEBs und bewerten und analysieren Sie deren strategische Bedeutung für Ihr Unternehmen bzw. Ihre Kühlkette.</t>
  </si>
  <si>
    <t xml:space="preserve">Relevante NEBs: Bitte gehen Sie die Liste der NEBs zusammen mit den vorgeschlagenen Indikatoren durch und wählen Sie die für Ihre EEM relevanten NEBs durch ein "X" (Spalte G) aus. </t>
  </si>
  <si>
    <t xml:space="preserve">(engl. value propostion) Nicht-monetäre Wertschöpfung aus einer EEM für Kunden oder Mitarbeiter. Die Wertsteigerung schlägt sich in zusätzlichen Einnahmen nieder. Z.B. wollen die Kunden mehr hochwertige Produkte kaufen.
</t>
  </si>
  <si>
    <t>Nutzen-
versprechen:</t>
  </si>
  <si>
    <t>Step #1: 
Relevance</t>
  </si>
  <si>
    <t>Step #2: 
Importance</t>
  </si>
  <si>
    <t>Step #3: 
Strategic analysis</t>
  </si>
  <si>
    <t>Schritt #1: 
Relevanz</t>
  </si>
  <si>
    <t>Schritt #2: 
Bedeutung</t>
  </si>
  <si>
    <t>Schritt #3: 
Strategische Analyse</t>
  </si>
  <si>
    <t>Unsicherheit des Wasserpreises oder der Jahre des vertraglich vereinbarten Wasserpreises</t>
  </si>
  <si>
    <t>Nachstehend finden Sie einen Überblick über Ihre zuvor identifizierten NEBs, die nach ihrem strategischen Beitrag zur Erhöhung des Nutzenversprechens (value proposition), der Kostensenkung und der Risikominderung klassifiziert sind.</t>
  </si>
  <si>
    <t xml:space="preserve">Erwartete Auswirkungen
 (z.B. in Form von Einsparungen in Euro)
</t>
  </si>
  <si>
    <t>-</t>
  </si>
  <si>
    <t>Internal lists only. Please do not modify this sheet unless you know what you are doing.</t>
  </si>
  <si>
    <r>
      <t xml:space="preserve">This page containts the internal language texts of the tool. </t>
    </r>
    <r>
      <rPr>
        <sz val="11"/>
        <color rgb="FFFF0000"/>
        <rFont val="Calibri"/>
        <family val="2"/>
      </rPr>
      <t>Please do not modify this sheet unless you know what you are doing.</t>
    </r>
  </si>
  <si>
    <t>Anteil Rohstoffe am Produktionsvolumen
(in t/Jahr) * Materialkosten (in EUR/t)</t>
  </si>
  <si>
    <t>keep empty entry!</t>
  </si>
  <si>
    <t xml:space="preserve">Strategische Analyse: Beginnen Sie mit den am höchsten eingestuften NEBs und klassifizieren Sie deren strategischen Beitrag für Ihre EEM nach der Erhöhung des Nutzenversprechens (value proposition), der Kostensenkung und der Risikominderung (setzen Sie entsprechend ein "X", maximal 5 pro Kategorie, Spalten I bis K).
</t>
  </si>
  <si>
    <t>Strategic analysis: Start with the highest ranked NEBs and classify their contribution to the strategy according to cost decrease, value propostion increase and risk reduction for your EEM (put an "X" accordingly, maximum of 5 per category, columns I to K).</t>
  </si>
  <si>
    <t>Info_Language_Caption_Note</t>
  </si>
  <si>
    <t>Important note: Please chose your language prior to adding any data to the empty tool and  do not change the language therelater. Otherwise, issues may occur due to drop-down fields that do not update automatically update to the new language setting.</t>
  </si>
  <si>
    <t>Wichtiger Hinweis: Bitte wählen Sie zwingend Ihre Sprache aus, bevor Sie Daten in das leere Dokument eingeben und ändern Sie die Sprache nicht nachträglich. Andernfalls kann es zu Problemen kommen, da die Auswahlfelder nicht automatisch die neue Spracheinstellung übernehmen.</t>
  </si>
  <si>
    <t>Ελληνικά (GR)</t>
  </si>
  <si>
    <t>Das ICCEE-Projektteam bedankt sich für die Unterstützung durch unser Schwesterprojekt M-Benefits (https://www.mbenefits.eu/), das die Entwicklungsgrundlage für dieses Tool bereitstellte.</t>
  </si>
  <si>
    <t>The ICCEE project team gratefully acknolwedges the support by its sister project M-Benefits (https://www.mbenefits.eu/) providing the basis for this tool.</t>
  </si>
  <si>
    <t>#5: NEB Evaluator: Translations</t>
  </si>
  <si>
    <t>#5: NEB Evaluator: Lists (English only)</t>
  </si>
  <si>
    <t>#5: NEB Evaluator: Info</t>
  </si>
  <si>
    <t>#5: NEB Bewertung: Info</t>
  </si>
  <si>
    <t>#5: NEB Evaluator: Versions</t>
  </si>
  <si>
    <t>#5: NEB Bewertung: Versionen</t>
  </si>
  <si>
    <t>#5: NEB Evaluator: Identify relevant non-energy benefits for your energy efficiency measure</t>
  </si>
  <si>
    <t>#5: NEB Bewertung: Identifizieren Sie relevante nicht-energetische Vorteile für Ihre Energieeffizienzmaßnahme</t>
  </si>
  <si>
    <t>#5: NEB Evaluator: Analyse relevant non-energy benefits in more detail</t>
  </si>
  <si>
    <t xml:space="preserve">#5: NEB Bewertung: Detaillierte Analyse relevanter nicht-energetischer Vorteile </t>
  </si>
  <si>
    <t>#5: NEB Evaluator: Lists</t>
  </si>
  <si>
    <t>#5: NEB Bewertung: Listen</t>
  </si>
  <si>
    <t>Info_Acknowledgements_Caption</t>
  </si>
  <si>
    <t>Acknowledgements:</t>
  </si>
  <si>
    <t xml:space="preserve">Danksagung: </t>
  </si>
  <si>
    <t>Info_Acknowledgements_Text</t>
  </si>
  <si>
    <t>Info_Copyright_Caption</t>
  </si>
  <si>
    <t xml:space="preserve">Copyright: </t>
  </si>
  <si>
    <t>Info_Copyright_Text1</t>
  </si>
  <si>
    <t>(c) ICCEE Project, 2021 (www.iccee.eu)</t>
  </si>
  <si>
    <t>(c) ICCEE Projekt, 2021 (www.iccee.eu)</t>
  </si>
  <si>
    <t>Info_Copyright_Text2</t>
  </si>
  <si>
    <t>All rights reserved; no part of this document may be translated, reproduced, stored in a retrieval system, or transmitted in any form or by any means, electronic, mechanical, photocopying, re-cording or otherwise, without the written permission of the publisher. Many of the designations used by manufacturers and sellers to distinguish their products are claimed as trademarks. The quotation of those designations in whatever way does not imply the conclusion that the use of those designations is legal without the content of the owner of the trademark. The sole responsibility for the document lies with the project. The document does not necessarily reflect the opinion of the European Union. Neither the EASME nor the European Commission is responsible for any use that may be made of the information contained therein. The English version of the copyright is authoritative. Versions in other languages are for information purposes only.</t>
  </si>
  <si>
    <t>Alle Rechte vorbehalten; kein Teil dieses Dokuments darf ohne schriftliche Genehmigung des Herausgebers in jedwelcher Form oder mit jedwelchen Mitteln - elektronisch, mechanisch, durch Fotokopie, Aufzeichnung oder auf andere Weise - übersetzt, vervielfältigt, in einem Abrufsystem gespeichert oder übertragen werden. Viele der Bezeichnungen, die von Herstellern und Verkäufern zur Unterscheidung ihrer Produkte verwendet werden, sind als Markenzeichen geschützt. Aus der Nennung dieser Bezeichnungen, in welcher Form auch immer, kann nicht geschlossen werden, dass die Verwendung dieser Bezeichnungen ohne Zustimmung des Eigentümers der Marke legal ist. Die alleinige Verantwortung für das Dokument liegt bei dem Projekt. Das Dokument gibt nicht unbedingt die Meinung der Europäischen Union wieder. Weder die EASME noch die Europäische Kommission sind für die Verwendung der darin enthaltenen Informationen verantwortlich. Die englische Version dieser Copyright-Information ist maßgebend. Versionen in anderen Sprachen dienen nur zu Informationszwecken.</t>
  </si>
  <si>
    <t>(n/y) * price (Euro/product)</t>
  </si>
  <si>
    <t>(Anzahl/Jahr) * Preis (Euro/Produkt)</t>
  </si>
  <si>
    <t>#5: Valutazione dei NEB: Info</t>
  </si>
  <si>
    <t>Questo strumento sui benefici non energetici (NEB) dovrebbe servire come approccio per scoprire il tema dei NEB in modo esemplare. Le misure di efficienza energetica (EEM) possono comportare, oltre all'evidente risparmio energetico, benefici non correlati al mero risparmio energetico, quali una maggiore competitività, esigenze di manutenzione ridotte o un migliore ambiente di lavoro. I NEB sono spesso sottovalutati, o addirittura non considerati, nel processo di valutazione di un progetto di risparmio energetico.</t>
  </si>
  <si>
    <t>Lingua:</t>
  </si>
  <si>
    <t>Nota importante: Si prega di selezionare la lingua prima di compilare il foglio di calcolo con qualsiasi dato e di non cambiare la lingua in seguito. Altrimenti, potrebbero verificarsi dei problemi a causa dei menù a tendina che non si aggiornano automaticamente alla nuova impostazione della lingua.</t>
  </si>
  <si>
    <t>Versione: </t>
  </si>
  <si>
    <t>Scopo: </t>
  </si>
  <si>
    <t>Lo scopo di questo strumento è quello di introdurre possibili NEB delle misure di efficienza energetica, la loro classificazione e la loro valutazione strategica nel processo decisionale di una misura di efficienza energetica. Un altro obiettivo dello strumento è quello di valutare i NEB non solo dal punto di vista della singola azienda ma anche lungo l'intera catena del freddo.</t>
  </si>
  <si>
    <t>Destinatari:</t>
  </si>
  <si>
    <t>Responsabili della catena del freddo e responsabili ambientali</t>
  </si>
  <si>
    <t>Codice colore:</t>
  </si>
  <si>
    <t>Il campo è un campo di input e richiede l'input dell'utente.</t>
  </si>
  <si>
    <t>Informazioni trasferite da un'altra parte della cartella di lavoro.</t>
  </si>
  <si>
    <t>Informazioni calcolate in base ad altri valori.</t>
  </si>
  <si>
    <t>Ringraziamenti:</t>
  </si>
  <si>
    <t>Il team del progetto ICCEE ringrazia il supporto del suo progetto gemello M-Benefits (https://www.mbenefits.eu/) che ha fornito la base per questo strumento.</t>
  </si>
  <si>
    <t>Copyright:</t>
  </si>
  <si>
    <t>(c) Progetto ICCEE, 2021 (www.iccee.eu)</t>
  </si>
  <si>
    <r>
      <t xml:space="preserve">Tutti i diritti riservati; nessuna parte di questo documento può essere tradotta, riprodotta, memorizzata in un sistema di recupero, o trasmessa in qualsiasi forma o con qualsiasi mezzo, elettronico, meccanico, fotocopia, ri-registrazione o altro, senza il permesso scritto dell'editore. Molte delle denominazioni usate da produttori e venditori per distinguere i loro prodotti sono rivendicate come marchi di fabbrica. La citazione di tali denominazioni in qualsiasi modo non implica la conclusione che l'uso di tali denominazioni sia legale senza il </t>
    </r>
    <r>
      <rPr>
        <sz val="11"/>
        <rFont val="Calibri (Corpo)"/>
      </rPr>
      <t>consenso</t>
    </r>
    <r>
      <rPr>
        <sz val="11"/>
        <rFont val="Calibri"/>
        <family val="2"/>
        <scheme val="minor"/>
      </rPr>
      <t xml:space="preserve"> del proprietario del marchio. La responsabilità del documento è esclusivamente del progetto. Il documento non riflette necessariamente l'opinione dell'Unione Europea. Né l'EASME né la Commissione Europea sono responsabili dell'uso che può essere fatto delle informazioni in esso contenute. La versione inglese del copyright fa fede. Le versioni in altre lingue sono solo a scopo informativo.</t>
    </r>
  </si>
  <si>
    <t>#5: Valutazione dei NEB: Versioni</t>
  </si>
  <si>
    <t>Cronologia delle versioni</t>
  </si>
  <si>
    <t>Data</t>
  </si>
  <si>
    <t>Versione</t>
  </si>
  <si>
    <t>Modifiche</t>
  </si>
  <si>
    <t>Modifiche apportate da</t>
  </si>
  <si>
    <t>#5: Valutazione dei NEB: Identificare i benefici non energetici rilevanti per la misura di efficienza energetica</t>
  </si>
  <si>
    <t>Le misure di efficienza energetica (EEM) possono comportare, oltre agli evidenti risparmi energetici, benefici non energetici (NEB), come una maggiore competitività, minori esigenze di manutenzione o un migliore ambiente di lavoro. Un esempio di catena del freddo consiste in diverse fasi dalla fornitura di materie prime alla vendita. Di seguito siete invitati ad analizzare una misura di efficienza energetica implementata nella vostra azienda o catena del freddo e a considerare gli effetti positivi per voi e per le altre fasi della catena.</t>
  </si>
  <si>
    <t>Definire la misura di efficienza energetica</t>
  </si>
  <si>
    <t>Scegliere e descrivere una misura di efficienza energetica implementata recentemente nella vostra azienda, se disponibile. Se non sono state implementate misure recenti, scegliere una misura ipotetica sulla base della vostra esperienza. Considerate se ci sono progetti di risparmio energetico già implementati o pianificati in collaborazione con altri attori operanti nella vostra catena del freddo che potrebbero essere interessanti per una valutazione.</t>
  </si>
  <si>
    <t>Denominazione della misura di efficienza energetica</t>
  </si>
  <si>
    <t>Descrizione</t>
  </si>
  <si>
    <t>Selezionare i benefici non energetici rilevanti</t>
  </si>
  <si>
    <t>Per la EEM prescelta: Si prega di seguire i tre step seguenti, cioè identificare i benefici non energetici rilevanti e valutare ed analizzare la loro importanza per la strategia della vostra azienda o della catena del freddo nella quale operate.</t>
  </si>
  <si>
    <t>#1: Rilevanza</t>
  </si>
  <si>
    <t>NEB rilevanti: Scorrere la lista dei NEB insieme agli indicatori suggeriti e selezionare quelli rilevanti per la vostra EEM con una 'X' (colonna G).</t>
  </si>
  <si>
    <t>#2: Importanza</t>
  </si>
  <si>
    <t>Importanza strategica: Valutare la loro importanza strategica con la scelta più appropriata (colonna H).</t>
  </si>
  <si>
    <t>#3: Analisi</t>
  </si>
  <si>
    <t>Analisi strategica: Iniziare con i NEB con il punteggio più alto e classificare il loro contributo strategico in base alla diminuzione dei costi, all'aumento di valore e alla riduzione del rischio per la vostra EEM (barrare con una "X", massimo 5 per categoria, colonne da I a K).</t>
  </si>
  <si>
    <t>Costi:</t>
  </si>
  <si>
    <t>Risparmi monetari derivanti dall'introduzione della EEM. Le EEM possono ridurre i costi in un'azienda, ben oltre i costi dell'energia.</t>
  </si>
  <si>
    <t>Proposta di valore:</t>
  </si>
  <si>
    <t>Valore non monetario aggiunto dalla EEM per il cliente o i dipendenti. L'aumento del valore si traduce in un guadagno ulteriore. Per esempio, i clienti desiderano comprare più prodotti di alta qualità.</t>
  </si>
  <si>
    <t>Rischi:</t>
  </si>
  <si>
    <t>Le EEM possono comportare un'importante riduzione dei rischi che si traduce in un aumento della proposta di valore e in una diminuzione dei costi. Per esempio, riduzione del rischio di malattia del personale o della produzione.</t>
  </si>
  <si>
    <t>Area e benefici non energetici</t>
  </si>
  <si>
    <t>Esempi di indicatori</t>
  </si>
  <si>
    <t>Step #1:
Rilevanza</t>
  </si>
  <si>
    <t>Step #2:
Importanza</t>
  </si>
  <si>
    <t>Step #3:
Analisi strategica</t>
  </si>
  <si>
    <t>Si prega di selezionare solo fino a cinque NEB per categoria</t>
  </si>
  <si>
    <t>Area: Produzione e prodotti</t>
  </si>
  <si>
    <t>(massimo 5 per categoria)</t>
  </si>
  <si>
    <t>Riduzione di malfunzionamenti o guasti di macchinari e attrezzature</t>
  </si>
  <si>
    <t>Miglioramento delle prestazioni delle attrezzature</t>
  </si>
  <si>
    <t>Maggiore durata delle attrezzature (grazie alla ridotta usura)</t>
  </si>
  <si>
    <t>Migliore qualità/conformità del prodotto</t>
  </si>
  <si>
    <t>Maggiore affidabilità della produzione (grazie a un migliore controllo)</t>
  </si>
  <si>
    <t>Gamma più ampia di prodotti</t>
  </si>
  <si>
    <t>Riduzione dei costi del servizio consumatori (grazie alla migliore qualità)</t>
  </si>
  <si>
    <t>Maggiore flessibilità di produzione</t>
  </si>
  <si>
    <t>Ridotta necessità di materie prime</t>
  </si>
  <si>
    <t>Riduzione dei materiali di consumo</t>
  </si>
  <si>
    <t>Ciclo di produzione più breve (minor tempo di lavorazione)</t>
  </si>
  <si>
    <t>Aumento del volume di produzione</t>
  </si>
  <si>
    <t>Aumento dei rendimenti di produzione</t>
  </si>
  <si>
    <t>Numero di guasti/difetti</t>
  </si>
  <si>
    <t>Percentuale pezzi difettosi/pezzi prodotti</t>
  </si>
  <si>
    <t>Costo delle attrezzature - ritardo nella produzione</t>
  </si>
  <si>
    <t>Riduzione delle perdite di produzione - rifacimento</t>
  </si>
  <si>
    <t>Percentuale di conformità specifiche/totale di pezzi prodotti</t>
  </si>
  <si>
    <t>Numero di prodotti aggiuntivi</t>
  </si>
  <si>
    <t>Numero di richiami di prodotto * costo del richiamo del prodotto</t>
  </si>
  <si>
    <t>Time-to-market - tempo di produzione</t>
  </si>
  <si>
    <t>Percentuale di materie prime del volume di produzione
(in t/a) * costi del materiale (in Euro/t)</t>
  </si>
  <si>
    <t>(n/a) * prezzo (Euro/prodotto)</t>
  </si>
  <si>
    <t>Durata del tempo di produzione</t>
  </si>
  <si>
    <t>Totale output/totale input</t>
  </si>
  <si>
    <t>Area: Rifiuti e acqua</t>
  </si>
  <si>
    <t>Riduzione del calore residuo</t>
  </si>
  <si>
    <t>Riutilizzo del calore disperso</t>
  </si>
  <si>
    <t>Riduzione dei rifiuti nocivi</t>
  </si>
  <si>
    <t>Riduzione del consumo di acqua</t>
  </si>
  <si>
    <t>Riduzione del volume delle acque reflue</t>
  </si>
  <si>
    <t>Riduzione del livello di inquinamento delle acque reflue</t>
  </si>
  <si>
    <t>Riduzione degli scarti di lavorazione</t>
  </si>
  <si>
    <t>Riduzione di altri rifiuti (per esempio, materiali di uso non nocivi)</t>
  </si>
  <si>
    <t>Quantità (totale o in % della produzione)</t>
  </si>
  <si>
    <t>Quantità (% del totale dei rifiuti)</t>
  </si>
  <si>
    <t>Acqua - volume di produzione (o in % del fatturato)
(m3/a) * costo dell'acqua (in Euro/m3)</t>
  </si>
  <si>
    <t>Composizione</t>
  </si>
  <si>
    <t>Area: Emissioni gassose</t>
  </si>
  <si>
    <t>Ridotte emissioni di pulviscolo</t>
  </si>
  <si>
    <t>Riduzione delle emissioni di CO, CO2, NOx, Sox</t>
  </si>
  <si>
    <t>Riduzione delle emissioni di gas fluorurati (refrigeranti)</t>
  </si>
  <si>
    <t>Quantità (totale o come % della produzione)</t>
  </si>
  <si>
    <t>Area: Manutenzione</t>
  </si>
  <si>
    <t>Riduzione dei costi di manutenzione</t>
  </si>
  <si>
    <t>Riduzione dell'usura dei macchinari e delle attrezzature</t>
  </si>
  <si>
    <t>Ridotto costo di controllo ingegneristico</t>
  </si>
  <si>
    <t>Durata di vita più lunga delle attrezzature, quindi costi dei macchinari ridotti</t>
  </si>
  <si>
    <t>Costo del controllo tecnico</t>
  </si>
  <si>
    <t>Area: Ambiente di lavoro</t>
  </si>
  <si>
    <t>Riduzione del rumore</t>
  </si>
  <si>
    <t>Miglioramento della qualità dell'aria</t>
  </si>
  <si>
    <t>Miglioramento del comfort termico</t>
  </si>
  <si>
    <t>Miglioramento del comfort visivo</t>
  </si>
  <si>
    <t>Miglioramento della produttività della forza lavoro</t>
  </si>
  <si>
    <t>Riduzione dell'assenteismo</t>
  </si>
  <si>
    <t>Riduzione dei costi sanitari</t>
  </si>
  <si>
    <t>Ridotta necessità di dispositivi di protezione</t>
  </si>
  <si>
    <t>Decibel* tempo di esposizione</t>
  </si>
  <si>
    <t>Numero di particelle/m2</t>
  </si>
  <si>
    <t>Benessere</t>
  </si>
  <si>
    <t>Benessere - produttività</t>
  </si>
  <si>
    <t>Dipende dai compiti (ripetitivi o meno)</t>
  </si>
  <si>
    <t>Giorni di assenza per malattia * costo al giorno</t>
  </si>
  <si>
    <t>Riduzione dei premi assicurativi</t>
  </si>
  <si>
    <t>Costo delle attrezzature</t>
  </si>
  <si>
    <t>Area: Gestione del rischio</t>
  </si>
  <si>
    <t>Riduzione del rischio di incidenti e malattie professionali</t>
  </si>
  <si>
    <t>Riduzione del rischio di CO2 e del prezzo dell'energia</t>
  </si>
  <si>
    <t>Riduzione del rischio dell prezzo dell'acqua</t>
  </si>
  <si>
    <t>Riduzione del rischio legale</t>
  </si>
  <si>
    <t>Riduzione del rischio di interruzione della fornitura di energia</t>
  </si>
  <si>
    <t>Riduzione dell'interruzione delle (altre) forniture</t>
  </si>
  <si>
    <t>Numero di incidenti / anno</t>
  </si>
  <si>
    <t>Variabilità dei prezzi (in base alle previsioni dei prezzi ETS o dell'energia)</t>
  </si>
  <si>
    <t>Incertezza del prezzo dell'acqua o degli anni in cui il prezzo dell'acqua è concordato contrattualmente con il fornitore</t>
  </si>
  <si>
    <t>Numero di cause o controversie legali</t>
  </si>
  <si>
    <t>Tasso di disponibilità della fornitura di energia (ad esempio, tasso di interruzione della fornitura di elettricità)</t>
  </si>
  <si>
    <t>Area: Altri</t>
  </si>
  <si>
    <t>Maggiore sicurezza dell'impianto</t>
  </si>
  <si>
    <t>Maggiore soddisfazione e lealtà del personale</t>
  </si>
  <si>
    <t>Riduzione del turnover del personale</t>
  </si>
  <si>
    <t>Ritardo o riduzione delle spese di capitale</t>
  </si>
  <si>
    <t>Riduzione dei costi di assicurazione</t>
  </si>
  <si>
    <t>Spazio aggiuntivo / Migliore utilizzo dello spazio</t>
  </si>
  <si>
    <t>Semplificazione e automazione delle procedure amministrative</t>
  </si>
  <si>
    <t>Contributo alla visione o alla strategia dell'azienda</t>
  </si>
  <si>
    <t>Migliore immagine o reputazione</t>
  </si>
  <si>
    <t>Maggiore conoscenza dei processi produttivi/ ausiliari</t>
  </si>
  <si>
    <t>Aumento del valore dei beni</t>
  </si>
  <si>
    <t>Contributo alla conformità normativa/regolamentazione</t>
  </si>
  <si>
    <t>Numero di incidenti all'anno * costi medi (o altro impatto) per incidente</t>
  </si>
  <si>
    <t>Numero medio di anni per cui i dipendenti lavorano nell'azienda</t>
  </si>
  <si>
    <t>Soddisfazione dei dipendenti</t>
  </si>
  <si>
    <t>Costo delle attrezzature evitato</t>
  </si>
  <si>
    <t>Costo assicurativo legato al rischio</t>
  </si>
  <si>
    <t>Numero di m2 risparmiati</t>
  </si>
  <si>
    <t>Numero di ore dedicate alle procedure per anno * salari/h</t>
  </si>
  <si>
    <t>Valore delle attività</t>
  </si>
  <si>
    <t>#5: Valutazione dei NEB: Analizzare in modo più dettagliato i benefici non energetici più rilevanti</t>
  </si>
  <si>
    <t>Iniziare un'analisi dettagliata per i NEB scelti e ritenuti prioritari. Provare a valutarli in modo qualitativo o quantitativo e se possibile monetizzarli. In che misura le altre fasi della vostra catena del freddo sono influenzati dai NEB?</t>
  </si>
  <si>
    <t>Panoramica dei NEB prioritari per la vostra EEM</t>
  </si>
  <si>
    <t>Di seguito troverete una panoramica dei NEB identificati in precedenza, classificati in base al loro contributo strategico in base all'aumento di valore, alla diminuzione dei costi e alla riduzione dei rischi per la vostra EEM.</t>
  </si>
  <si>
    <t>NEB per la diminuzione dei costi</t>
  </si>
  <si>
    <t>NEB per l'aumento della proposta di valore</t>
  </si>
  <si>
    <t>NEB per la riduzione del rischio</t>
  </si>
  <si>
    <t>Analisi approfondita dei vostri NEB</t>
  </si>
  <si>
    <t>Per i NEB identificati e classificati: Cercare di valutare i parametri della tabella sottostante.</t>
  </si>
  <si>
    <t>Key performance indicator (KPI):</t>
  </si>
  <si>
    <t>I KPI sono incollati automaticamente. Se necessario adattarli ai propri indicatori per valutare i NEB (colonna D).</t>
  </si>
  <si>
    <t>Origine dei dati per l'indicatore:</t>
  </si>
  <si>
    <t xml:space="preserve">Indicare l'origine dei dati dell'azienda, per esempio il dipartimento (colonna E). </t>
  </si>
  <si>
    <t>Impatti previsti:</t>
  </si>
  <si>
    <t>Indicare l'impatto del NEB in termini qualitativi o monetari, se possibile (colonna F).</t>
  </si>
  <si>
    <t>Indicare se e come altri stadi della catena del freddo/altri partner traggono vantaggio dai NEB (colonna G).</t>
  </si>
  <si>
    <t>Area: COSTI</t>
  </si>
  <si>
    <t>Key performance indicator
(sovrascrivere se necessario)</t>
  </si>
  <si>
    <t>Origine dei dati per l'indicatore
(es. reparto aziendale)</t>
  </si>
  <si>
    <t>Impatto previsto
(in termini di Euro risparmiati)</t>
  </si>
  <si>
    <t>Impatto previsto su altro nell'ambito della catena del freddo</t>
  </si>
  <si>
    <t>Area: PROPOSTA DI VALORE</t>
  </si>
  <si>
    <t>Area: RISCHI</t>
  </si>
  <si>
    <t>#5: Valutazione dei NEB: Elenco</t>
  </si>
  <si>
    <t>Importanza strategica</t>
  </si>
  <si>
    <t>nessuno</t>
  </si>
  <si>
    <t>basso</t>
  </si>
  <si>
    <t>medio</t>
  </si>
  <si>
    <t>alta</t>
  </si>
  <si>
    <t>Natura dei dati</t>
  </si>
  <si>
    <t>quantitativo</t>
  </si>
  <si>
    <t>qualitativa</t>
  </si>
  <si>
    <t>NEB nella catena del freddo</t>
  </si>
  <si>
    <t>alto</t>
  </si>
  <si>
    <t>#5: Evaluador de BNE: Info</t>
  </si>
  <si>
    <t xml:space="preserve">Esta herramienta sobre los beneficios no energéticos (BNE) debería servir como enfoque para descubrir el tema de los BNE de forma ejemplar. Las medidas de eficiencia energética (MAEs) pueden conllevar, además del evidente ahorro energético, beneficios no relacionados con la energía, por ejemplo, una mayor competitividad, una reducción de los requisitos de mantenimiento o una mejora del entorno de trabajo. Los beneficios no relacionados con la energía se subestiman fácilmente, o incluso no se tienen en cuenta, en el proceso de evaluación de un proyecto de ahorro energético. </t>
  </si>
  <si>
    <t>Idioma:</t>
  </si>
  <si>
    <t>Nota importante: Por favor, elija su idioma antes de introducir cualquier dato en la herramienta y no cambie el idioma posteriormente. De lo contrario, pueden producirse problemas debido a que los campos desplegables no se actualizan automáticamente a la nueva configuración de idioma.</t>
  </si>
  <si>
    <t xml:space="preserve">Versión: </t>
  </si>
  <si>
    <t xml:space="preserve">Objetivo: </t>
  </si>
  <si>
    <t>El objetivo de esta herramienta es introducir los posibles BNE de las medidas de eficiencia energética, su clasificación y su análisis estratégico en el proceso de toma de decisiones de una MAE. Otro objetivo de la herramienta es evaluar los NEB no sólo desde la perspectiva de una empresa individual, sino también a lo largo de toda la cadena de suministro de frío.</t>
  </si>
  <si>
    <t>Grupo objetivo:</t>
  </si>
  <si>
    <t>Gestores de la cadena de suministro y gestores medioambientales</t>
  </si>
  <si>
    <t>Código de colores:</t>
  </si>
  <si>
    <t>El campo requiere la introducción de datos por parte del usuario.</t>
  </si>
  <si>
    <t>Información transferida desde otra parte del libro de trabajo.</t>
  </si>
  <si>
    <t>Información calculada en base a otros valores.</t>
  </si>
  <si>
    <t>Agradecimientos:</t>
  </si>
  <si>
    <t>El equipo del proyecto ICCEE agradece el apoyo de su proyecto hermano M-Benefits (https://www.mbenefits.eu/) que proporcionó la base para esta herramienta.</t>
  </si>
  <si>
    <t xml:space="preserve">Derechos de autor: </t>
  </si>
  <si>
    <t>(c) Proyecto ICCEE, 2021 (www.iccee.eu)</t>
  </si>
  <si>
    <t>Todos los derechos reservados; ninguna parte de este documento puede ser traducida, reproducida, almacenada en un sistema de recuperación o transmitida en cualquier forma o por cualquier medio, ya sea electrónico, mecánico, de fotocopia, de grabación o de otro tipo, sin el permiso por escrito del editor. Muchas de las denominaciones utilizadas por los fabricantes y vendedores para distinguir sus productos se reclaman como marcas comerciales. La cita de dichas denominaciones, sea cual sea su forma, no implica la conclusión de que el uso de las mismas sea legal sin el contenido del propietario de la marca. La responsabilidad del documento recae exclusivamente en el proyecto. El documento no refleja necesariamente la opinión de la Unión Europea. La EASME, la Comisión Europea y los socios del proyecto no son responsables del uso que pueda hacerse de la información contenida en él. La versión en inglés es la autorizada. Las versiones en otros idiomas son sólo a título informativo.</t>
  </si>
  <si>
    <t>#5: Evaluador BNE: Versiones</t>
  </si>
  <si>
    <t>Historial de versiones</t>
  </si>
  <si>
    <t>Fecha</t>
  </si>
  <si>
    <t>Versión</t>
  </si>
  <si>
    <t>Cambio</t>
  </si>
  <si>
    <t>Cambiado por</t>
  </si>
  <si>
    <t>#5: Evaluador de BNE: Identifique los beneficios no energéticos relevantes para su medida de eficiencia energética</t>
  </si>
  <si>
    <t>Las medidas de eficiencia energética (MAEs) pueden conllevar, además del evidente ahorro de energía, beneficios no relacionados con la energía (BNE), como el aumento de la competitividad, la reducción de los requisitos de mantenimiento o la mejora del entorno de trabajo. Un ejemplo de cadena de suministro de frío consta de varias etapas, desde el proveedor de materias primas hasta el minorista. A continuación, le invitamos a analizar un ejemplo de MAE implantada en su empresa o cadena de frío y a considerar los efectos positivos para usted y otras etapas de su cadena.</t>
  </si>
  <si>
    <t>Defina su medida de eficiencia energética</t>
  </si>
  <si>
    <t>Elija y describa una medida de eficiencia energética implementada recientemente en su empresa, si está disponible. Si no se han aplicado medidas recientes, elija una medida hipotética basada en su experiencia. Considere si hay proyectos de ahorro energético ya implementados o planificados en cooperación con otros miembros de su cadena de suministro de frío que podrían ser interesantes para una evaluación.</t>
  </si>
  <si>
    <t>Título de la MAE</t>
  </si>
  <si>
    <t>Descripción</t>
  </si>
  <si>
    <t>Seleccione los beneficios no energéticos relevantes</t>
  </si>
  <si>
    <t xml:space="preserve">Para su MAE elegida: Por favor, siga los tres pasos siguientes, es decir, identifique los BNE relevantes y evalúe y analice su importancia para la estrategia de su empresa respectivamente de la cadena de suministro de frío. </t>
  </si>
  <si>
    <t>#1: Relevancia</t>
  </si>
  <si>
    <t xml:space="preserve">Los BNE relevantes: Revise la lista de los factores de necrología junto con los indicadores sugeridos y seleccione con una "X" los que sean relevantes para su MAE (columna G). </t>
  </si>
  <si>
    <t>#2: Importancia</t>
  </si>
  <si>
    <t>Importancia estratégica: Evalúe su importancia para la estrategia mediante la selección adecuada (columna H).</t>
  </si>
  <si>
    <t>#3: Análisis</t>
  </si>
  <si>
    <t>Análisis estratégico: Comience con los BNE mejor clasificados y clasifique su contribución a la estrategia según la disminución de costes, el aumento de la propuesta de valor y la reducción de riesgos para su MAE (marque con una "X" lo que corresponda, un máximo de 5 por categoría, columnas I a K).</t>
  </si>
  <si>
    <t xml:space="preserve">Costes: </t>
  </si>
  <si>
    <t>Ahorro monetario derivado de la introducción de la MAE. Las MAEs pueden reducir los costes de una empresa, mucho más allá de los costes energéticos.</t>
  </si>
  <si>
    <t xml:space="preserve">Propuesta de valor:  </t>
  </si>
  <si>
    <t>Valor añadido no monetario de la MAE para el cliente o los empleados. El aumento de valor se traduce en ingresos adicionales. Por ejemplo, los clientes quieren comprar más productos de alta calidad.</t>
  </si>
  <si>
    <t xml:space="preserve">Riesgos: </t>
  </si>
  <si>
    <t xml:space="preserve">Las MAEs pueden suponer una reducción de riesgos importantes que se traduce en un aumento de la propuesta de valor y una disminución de los costes. Por ejemplo, reducción del riesgo de enfermedad del personal o de la producción </t>
  </si>
  <si>
    <t>Área y beneficio no energético</t>
  </si>
  <si>
    <t>Ejemplos de indicadores</t>
  </si>
  <si>
    <t>Paso 1: _x000D_
Relevancia</t>
  </si>
  <si>
    <t>Paso #2: _x000D_
Importancia</t>
  </si>
  <si>
    <t>Paso #3: _x000D_
Análisis estratégico</t>
  </si>
  <si>
    <t>Por favor, seleccione sólo un máximo de cinco BNEs por categoría</t>
  </si>
  <si>
    <t>Área: Producción y productos</t>
  </si>
  <si>
    <t>(máximo de 5 por categoría)</t>
  </si>
  <si>
    <t xml:space="preserve">Reducción del mal funcionamiento o las averías de la maquinaria y los equipos </t>
  </si>
  <si>
    <t>Mejora del rendimiento de los equipos</t>
  </si>
  <si>
    <t>Mayor vida útil de los equipos (debido a la reducción del desgaste)</t>
  </si>
  <si>
    <t>Mejora de la calidad/consistencia del producto</t>
  </si>
  <si>
    <t>Mayor fiabilidad de la producción (gracias a un mejor control)</t>
  </si>
  <si>
    <t>Mayor gama de productos</t>
  </si>
  <si>
    <t>Reducción de los costes de servicio al cliente (debido a la mejor calidad)</t>
  </si>
  <si>
    <t>Mayor flexibilidad de la producción</t>
  </si>
  <si>
    <t>Reducción de la necesidad de materia prima</t>
  </si>
  <si>
    <t>Reducción de los consumibles</t>
  </si>
  <si>
    <t>Ciclo de producción más corto (tiempo de ciclo de proceso más corto)</t>
  </si>
  <si>
    <t>Aumento del volumen de producción</t>
  </si>
  <si>
    <t>Mayor rendimiento de la producción</t>
  </si>
  <si>
    <t>Número de averías/defectos</t>
  </si>
  <si>
    <t>Porcentaje de piezas defectuosas/piezas producidas</t>
  </si>
  <si>
    <t xml:space="preserve">Coste del equipo - gasto retrasado </t>
  </si>
  <si>
    <t>Reducción de las pérdidas de producción - rehacer</t>
  </si>
  <si>
    <t>Porcentaje de conformidad con las especificaciones/total de piezas producidas</t>
  </si>
  <si>
    <t>Número de productos adicionales</t>
  </si>
  <si>
    <t>Número de retiradas de productos * coste de la retirada de productos</t>
  </si>
  <si>
    <t>Tiempo de comercialización - tiempo de producción</t>
  </si>
  <si>
    <t>Porcentaje de materias primas del volumen de producción_x000D_
(en t/a) * costes de material (en EUR/t)</t>
  </si>
  <si>
    <t>Duración del tiempo de producción</t>
  </si>
  <si>
    <t>Total de la producción/total de las entradas</t>
  </si>
  <si>
    <t>Área: Residuos y agua</t>
  </si>
  <si>
    <t>Reducción del calor residual</t>
  </si>
  <si>
    <t>Reutilización del calor residual</t>
  </si>
  <si>
    <t>Reducción de residuos peligrosos</t>
  </si>
  <si>
    <t>Reducción del consumo de agua</t>
  </si>
  <si>
    <t>Reducción del volumen de aguas residuales</t>
  </si>
  <si>
    <t>Reducción del nivel de contaminación de las aguas residuales</t>
  </si>
  <si>
    <t>Reducción de los residuos de productos</t>
  </si>
  <si>
    <t>Reducción de otros residuos (por ejemplo, consumibles no peligrosos)</t>
  </si>
  <si>
    <t>Cantidad (total o en % de la producción)</t>
  </si>
  <si>
    <t>Cantidad (en % del total de residuos)</t>
  </si>
  <si>
    <t>Agua - volumen de producción (o en % de la facturación)_x000D_
(m3/a) * costes del agua (en EUR/m3)</t>
  </si>
  <si>
    <t>Composición</t>
  </si>
  <si>
    <t>Superficie: Emisiones gaseosas</t>
  </si>
  <si>
    <t>Reducción de las emisiones de polvo</t>
  </si>
  <si>
    <t>Reducción de las emisiones de CO, CO2, NOx, SOx</t>
  </si>
  <si>
    <t>Reducción de las emisiones de gases fluorados (refrigerantes)</t>
  </si>
  <si>
    <t>Área: Mantenimiento</t>
  </si>
  <si>
    <t>Reducción de los costes de mantenimiento</t>
  </si>
  <si>
    <t>Reducción del desgaste de la maquinaria y los equipos</t>
  </si>
  <si>
    <t>Reducción del coste de control de ingeniería</t>
  </si>
  <si>
    <t>Mayor vida útil de los equipos, por lo que se reducen los costes de nivelación de la maquinaria</t>
  </si>
  <si>
    <t>Coste del control técnico</t>
  </si>
  <si>
    <t>Área: Entorno de trabajo</t>
  </si>
  <si>
    <t>Reducción del ruido</t>
  </si>
  <si>
    <t>Mejora de la calidad del aire</t>
  </si>
  <si>
    <t>Mejora del confort térmico</t>
  </si>
  <si>
    <t>Mejora del confort visual</t>
  </si>
  <si>
    <t xml:space="preserve">Mejora de la productividad de los trabajadores </t>
  </si>
  <si>
    <t>Reducción del absentismo laboral</t>
  </si>
  <si>
    <t>Reducción de los costes sanitarios</t>
  </si>
  <si>
    <t>Reducción de la necesidad de equipos de protección</t>
  </si>
  <si>
    <t>Decibelios* tiempo de exposición</t>
  </si>
  <si>
    <t>Número de partículas/m2</t>
  </si>
  <si>
    <t>Bienestar</t>
  </si>
  <si>
    <t>Bienestar - productividad</t>
  </si>
  <si>
    <t>Depende de las tareas (repetitivas o no)</t>
  </si>
  <si>
    <t>Días de ausencia por enfermedad * coste por día</t>
  </si>
  <si>
    <t>Reducción de las primas de seguro</t>
  </si>
  <si>
    <t>Coste de los equipos</t>
  </si>
  <si>
    <t>Área: Gestión de riesgos</t>
  </si>
  <si>
    <t>Reducción del riesgo de accidente y enfermedad profesional</t>
  </si>
  <si>
    <t>Reducción del riesgo de CO2 y del precio de la energía</t>
  </si>
  <si>
    <t>Reducción del riesgo del precio del agua</t>
  </si>
  <si>
    <t>Reducción del riesgo legal</t>
  </si>
  <si>
    <t>Reducción del riesgo de interrupción del suministro de energía</t>
  </si>
  <si>
    <t>Reducción del riesgo de interrupción del suministro (de otro tipo)</t>
  </si>
  <si>
    <t>Número de accidentes / año</t>
  </si>
  <si>
    <t>Variabilidad de los precios (basada en las previsiones de los precios de la energía)</t>
  </si>
  <si>
    <t>Incertidumbre en el precio del agua o en los años en los que el precio del agua está acordado contractualmente con el proveedor</t>
  </si>
  <si>
    <t>Número de pleitos o disputas legales</t>
  </si>
  <si>
    <t>Tasa de disponibilidad del suministro de energía (por ejemplo, tasa de interrupción del suministro eléctrico)</t>
  </si>
  <si>
    <t>Área: Otros</t>
  </si>
  <si>
    <t>Aumento de la seguridad de las instalaciones</t>
  </si>
  <si>
    <t>Mayor satisfacción y fidelidad del personal</t>
  </si>
  <si>
    <t>Reducción de la rotación del personal</t>
  </si>
  <si>
    <t>Retraso o reducción de los gastos de capital</t>
  </si>
  <si>
    <t xml:space="preserve">Reducción del coste de los seguros </t>
  </si>
  <si>
    <t>Espacio adicional/mejora de la utilización del espacio</t>
  </si>
  <si>
    <t>Simplificación y automatización de los procedimientos aduaneros</t>
  </si>
  <si>
    <t>Contribución a la visión o estrategia de la empresa</t>
  </si>
  <si>
    <t>Mejora de la imagen o la reputación</t>
  </si>
  <si>
    <t>Mayor conocimiento de los procesos de producción/auxiliares</t>
  </si>
  <si>
    <t>Aumento del valor de los activos</t>
  </si>
  <si>
    <t>Contribución al cumplimiento de la normativa/la presentación de informes</t>
  </si>
  <si>
    <t>Número de incidentes al año * costes medios (u otro impacto) por incidente</t>
  </si>
  <si>
    <t xml:space="preserve">Número medio de años que los empleados trabajan en la empresa </t>
  </si>
  <si>
    <t>Satisfacción de los empleados</t>
  </si>
  <si>
    <t>Coste de los equipos evitados</t>
  </si>
  <si>
    <t xml:space="preserve">Coste del seguro relacionado con el riesgo </t>
  </si>
  <si>
    <t>Número de m2 ahorrados</t>
  </si>
  <si>
    <t>Número de horas dedicadas a los procedimientos al año * salario/h</t>
  </si>
  <si>
    <t>Valor de los activos</t>
  </si>
  <si>
    <t>#5: Evaluador de BNE: Analice con más detalle los beneficios no energéticos relevantes</t>
  </si>
  <si>
    <t>Inicie un análisis detallado de los BNE elegidos y priorizados. Intente evaluarlos de forma cualitativa o cuantitativa y monetizarlos si es posible. ¿En qué medida se ven afectadas otras etapas de su cadena de suministro de frío por el BNE?</t>
  </si>
  <si>
    <t>Resumen de los BNE priorizados para su MAE</t>
  </si>
  <si>
    <t>A continuación encontrará una visión general de sus BNEs previamente identificados, clasificados por su contribución a la estrategia según el aumento de la propuesta de valor, la disminución de los costes y la reducción del riesgo para su MAE.</t>
  </si>
  <si>
    <t>BNEs para la reducción de costes</t>
  </si>
  <si>
    <t>BNEs para el aumento de la propuesta de valor</t>
  </si>
  <si>
    <t>BNEs para la reducción de riesgos</t>
  </si>
  <si>
    <t>Análisis en profundidad de sus BNEs</t>
  </si>
  <si>
    <t>Para sus BNEs identificados y clasificados: Intente analizar los parámetros de la siguiente tabla.</t>
  </si>
  <si>
    <t xml:space="preserve">Indicador de rendimiento (KPI): </t>
  </si>
  <si>
    <t xml:space="preserve">Los KPI se pegan automáticamente. Adapte sus propios indicadores para evaluar el BNE si es necesario (columna D)._x000D_
</t>
  </si>
  <si>
    <t>Fuente de datos para el indicador:</t>
  </si>
  <si>
    <t xml:space="preserve">Indique la fuente de los datos en la empresa, por ejemplo, el departamento (columna E). </t>
  </si>
  <si>
    <t>Impactos previstos:</t>
  </si>
  <si>
    <t xml:space="preserve"> Indique el impacto del BNE en términos cualitativos o monetarios si es posible (columna F).
</t>
  </si>
  <si>
    <t>Indique si otras etapas de la cadena de suministro de frío/otros socios también se benefician del BNE y cómo lo hacen (columna G).</t>
  </si>
  <si>
    <t>Área: COSTES</t>
  </si>
  <si>
    <t>Indicador de rendimiento _x000D_
(sobrescribir si es necesario)</t>
  </si>
  <si>
    <t>Fuente de datos para el indicador_x000D_
(por ejemplo, departamento de la empresa)</t>
  </si>
  <si>
    <t>Impacto esperado_x000D_
 (por ejemplo, en términos de ahorro en euros)</t>
  </si>
  <si>
    <t>Impacto esperado en otros integrantes de la cadena de suministro de frío</t>
  </si>
  <si>
    <t>Área: PROPUESTA DE VALOR</t>
  </si>
  <si>
    <t>Área: RIESGOS</t>
  </si>
  <si>
    <t>#5: Evaluador de BNE: Listas</t>
  </si>
  <si>
    <t>Importancia estratégica</t>
  </si>
  <si>
    <t>ninguna</t>
  </si>
  <si>
    <t>baja</t>
  </si>
  <si>
    <t>media</t>
  </si>
  <si>
    <t>Naturaleza de los datos</t>
  </si>
  <si>
    <t>cuantitativo</t>
  </si>
  <si>
    <t>cualitativa</t>
  </si>
  <si>
    <t>BNE en la cadena de frío</t>
  </si>
  <si>
    <t>ninguno</t>
  </si>
  <si>
    <t>bajo</t>
  </si>
  <si>
    <t>Βελτίωση ενεργειακής απόδοσης ψυχρής αλυσίδας (έργο ICCEE)</t>
  </si>
  <si>
    <t># 5: Αξιολογητής NEB: Πληροφορίες</t>
  </si>
  <si>
    <t>Αυτό το εργαλείο για τα μη ενεργειακά οφέλη (NEBs) θα πρέπει να χρησιμεύσει ως προσέγγιση για να ανακαλύψετε το θέμα των NEBs με υποδειγματικό τρόπο. Τα μέτρα ενεργειακής απόδοσης (EEMs) μπορούν να συνεπάγονται, επιπλέον της προφανούς εξοικονόμησης ενέργειας, οφέλη που δεν σχετίζονται με την ενέργεια, π.χ. βελτιωμένη ανταγωνιστικότητα, μειωμένες απαιτήσεις συντήρησης ή βελτιωμένο εργασιακό περιβάλλον. Τα NEBs υποτιμούνται εύκολα, ή ακόμη και δεν λαμβάνονται υπόψη, στη διαδικασία αξιολόγησης ενός έργου εξοικονόμησης ενέργειας.</t>
  </si>
  <si>
    <t>Γλώσσα:</t>
  </si>
  <si>
    <t>Σημαντική σημείωση: Επιλέξτε τη γλώσσα σας προτού προσθέσετε δεδομένα στο κενό εργαλείο και μην αλλάξετε τη γλώσσα. Διαφορετικά, ενδέχεται να προκύψουν προβλήματα λόγω των αναπτυσσόμενων πεδίων που δεν ενημερώνονται αυτόματα ενημερώνονται στη νέα ρύθμιση γλώσσας.</t>
  </si>
  <si>
    <t>Έκδοση:</t>
  </si>
  <si>
    <t>Σκοπός:</t>
  </si>
  <si>
    <t>Ο στόχος αυτού του εργαλείου είναι να εισαγάγει πιθανά NEBs μέτρων ενεργειακής απόδοσης, την ταξινόμησή τους και τη στρατηγική τους αξιολόγηση στη διαδικασία λήψης αποφάσεων ενός EEM.Μία αλλη εστίαση του εργαλείου είναι η αξιολόγηση των NEBs όχι μόνο από μεμονωμένη προοπτική της εταιρείας αλλά και σε ολόκληρη την ψυχρή εφοδιαστική αλυσίδα.</t>
  </si>
  <si>
    <t>Ομάδα στόχος:</t>
  </si>
  <si>
    <t xml:space="preserve">Διαχειριστές εφοδιαστικής και περιβαντολλογικής αλυσίδας </t>
  </si>
  <si>
    <t>Χρωματική κωδικοποίηση:</t>
  </si>
  <si>
    <t>Το πεδίο είναι πεδίο εισαγωγής και απαιτεί είσοδο από τον χρήστη.</t>
  </si>
  <si>
    <t>Πληροφορίες που μεταφέρονται από διαφορετικό μέρος του βιβλίου εργασίας.</t>
  </si>
  <si>
    <t>Πληροφορίες που υπολογίζονται με βάση άλλες τιμές.</t>
  </si>
  <si>
    <t>Αναγνωρίσεις:</t>
  </si>
  <si>
    <t>Η ομάδα  έργου του ICCEE αναγνώρισε με ευγνωμοσύνη την υποστήριξη του συνεργαζόμενου έργου M-Benefits (https://www.mbenefits.eu/) παρέχοντας τη βάση για αυτό το εργαλείο.</t>
  </si>
  <si>
    <t>Πνευματική ιδιοκτησία:</t>
  </si>
  <si>
    <t>Με επιφυλαξη παντως δικαιωματος; κανένα μέρος αυτού του εγγράφου δεν μπορεί να μεταφραστεί, να αναπαραχθεί, να αποθηκευτεί σε ένα σύστημα ανάκτησης, ή να μεταδοθεί σε οποιαδήποτε μορφή ή με οποιονδήποτε τρόπο, ηλεκτρονικό, μηχανικό, φωτοτυπικό, εκ νέου εγγραφή ή άλλως, χωρίς τη γραπτή άδεια του εκδότη. Πολλοί από τους χαρακτηρισμούς που χρησιμοποιούνται από τους κατασκευαστές και τους πωλητές για να διακρίνουν τα προϊόντα τους ισχυρίζονται ως εμπορικά σήματα. Η αναφορά αυτών των ονομασιών με οποιονδήποτε τρόπο δεν συνεπάγεται το συμπέρασμα ότι η χρήση αυτών των ονομασιών είναι νόμιμη χωρίς το περιεχόμενο του κατόχου του εμπορικού σήματος. Η αποκλειστική ευθύνη για το έγγραφο βαρύνει το έργο. Το έγγραφο δεν αντικατοπτρίζει απαραίτητα τη γνώμη της Ευρωπαϊκής Ένωσης. Ούτε το EASME ούτε η Ευρωπαϊκή Επιτροπή ευθύνονται για οποιαδήποτε χρήση των πληροφοριών που περιέχονται σε αυτήν. Η αγγλική έκδοση των πνευματικών δικαιωμάτων είναι έγκυρη. Οι εκδόσεις σε άλλες γλώσσες προορίζονται μόνο για ενημερωτικούς σκοπούς.</t>
  </si>
  <si>
    <t>#5: NEB Αξιολογητής: Εκδόσεις</t>
  </si>
  <si>
    <t>Ιστορία έκδοσης</t>
  </si>
  <si>
    <t>Ημερομηνία</t>
  </si>
  <si>
    <t>Εκδοση</t>
  </si>
  <si>
    <t>Αλλαγή</t>
  </si>
  <si>
    <t>Αλλαγή από</t>
  </si>
  <si>
    <t># 5: Αξιολογητής NEB: Προσδιορίστε τα σχετικά μη ενεργειακά οφέλη για το μέτρο ενεργειακής απόδοσης</t>
  </si>
  <si>
    <t>Τα μέτρα ενεργειακής απόδοσης (EEM) μπορούν να συνεπάγονται, εκτός από την εμφανή εξοικονόμηση ενέργειας, τα οφέλη που δεν σχετίζονται με την ενέργεια (NEBs), όπως αυξημένη ανταγωνιστικότητα, μειωμένες απαιτήσεις συντήρησης ή βελτιωμένο εργασιακό περιβάλλον. Ένα δείγμα ψυχρής εφοδιαστικής αλυσίδας αποτελείται από διάφορα στάδια από τον προμηθευτή πρώτων υλών έως τον λιανοπωλητή. Στη συνέχεια σας προσκαλούμε να αναλύσετε ένα υποδειγματικό EEM που εφαρμόζεται στην εταιρεία σας ή στην ψυκτική αλυσίδα και να λάβετε υπόψη τα θετικά αποτελέσματα για εσάς και άλλα στάδια της αλυσίδας σας.</t>
  </si>
  <si>
    <t>Καθορίστε το μέτρο ενεργειακής απόδοσης</t>
  </si>
  <si>
    <t>Επιλέξτε και περιγράψτε ένα EEM που εφαρμόστηκε πρόσφατα στην εταιρεία σας, εάν είναι διαθέσιμο. Εάν δεν έχουν εφαρμοστεί πρόσφατα μέτρα, επιλέξτε ένα υποθετικό μέτρο βάσει της εμπειρίας σας. Σκεφτείτε εάν υπάρχουν ήδη υλοποιημένα ή προγραμματισμένα έργα εξοικονόμησης ενέργειας σε συνεργασία με άλλα μέλη της αλυσίδας ψυχρής προμήθειας που θα μπορούσαν να είναι ενδιαφέροντα για αξιολόγηση.</t>
  </si>
  <si>
    <t>Τίτλος του ΕΕΜ</t>
  </si>
  <si>
    <t>Περιγραφή</t>
  </si>
  <si>
    <t>Επιλέξτε σχετικά μη ενεργειακά οφέλη</t>
  </si>
  <si>
    <t>Για το EEM που έχετε επιλέξει: Ακολουθήστε τα παρακάτω τρία βήματα, δηλαδή προσδιορίστε σχετικούς NEBs και αξιολογήστε και αναλύστε τη σημασία τους για τη στρατηγική της εταιρείας σας αντίστοιχα της ψυχρής εφοδιαστικής αλυσίδας.</t>
  </si>
  <si>
    <t># 1: Συνάφεια</t>
  </si>
  <si>
    <t>Σχετικές NEBs: Περιηγηθείτε στη λίστα NEBs μαζί με τις προτεινόμενες ενδείξεις και επιλέξτε εκείνες που είναι σχετικές για το EEM σας με ένα «X» (στήλη G).</t>
  </si>
  <si>
    <t># 2: Σημασία</t>
  </si>
  <si>
    <t>Στρατηγική σημασία: Αξιολογήστε τη σημασία τους στη στρατηγική με την κατάλληλη επιλογή (στήλη H).</t>
  </si>
  <si>
    <t># 3: Ανάλυση</t>
  </si>
  <si>
    <t>Στρατηγική ανάλυση: Ξεκινήστε με τα υψηλότερα NEBs και ταξινομήστε τη συμβολή τους στη στρατηγική ανάλογα με τη μείωση του κόστους, την αύξηση της πρότασης αξίας και τη μείωση του κινδύνου για το EEM σας (βάλτε ένα "X" αντίστοιχα, μέγιστο 5 ανά κατηγορία, στήλες I έως K).</t>
  </si>
  <si>
    <t>Κόστη:</t>
  </si>
  <si>
    <t>Εξοικονόμηση χρημάτων από την εισαγωγή του EEM. Τα EEM μπορούν να μειώσουν το κόστος σε μια εταιρεία, πολύ πέρα από το ενεργειακό κόστος.</t>
  </si>
  <si>
    <t>Πρόταση αξίας:</t>
  </si>
  <si>
    <t>Μη χρηματική προστιθέμενη αξία από το EEM για τον πελάτη ή τους υπαλλήλους. Η αυξημένη αξία μεταφράζεται σε πρόσθετο εισόδημα. Π.χ. οι πελάτες θέλουν να αγοράσουν περισσότερα από τα προϊόντα υψηλής ποιότητας.</t>
  </si>
  <si>
    <t>Κίνδυνοι:</t>
  </si>
  <si>
    <t>Τα EEM μπορούν να συνεπάγονται μείωση των σημαντικών κινδύνων που μεταφράζονται στην αύξηση της πρότασης αξίας και στη μείωση του κόστους. Π.χ. μειωμένος κίνδυνος ασθένειας ή παραγωγής του προσωπικού</t>
  </si>
  <si>
    <t>Περιοχή και μη ενεργειακό όφελος</t>
  </si>
  <si>
    <t>Δείγματα δείκτες</t>
  </si>
  <si>
    <t xml:space="preserve">Βήμα#1:                                                                                                              Σχετικότητα                                                                                                                                     </t>
  </si>
  <si>
    <t xml:space="preserve">Βήμα#2:                                                                                                                   Σημασία                                                                                                                                    </t>
  </si>
  <si>
    <t>Βήμα#3:                                                                                                                Στρατηγική ανάλυση</t>
  </si>
  <si>
    <t>Παρακαλώ επιλέξτε μόνο 5 NEBs ανά κατηγορία</t>
  </si>
  <si>
    <t>Περιοχή: Παραγωγή και προίοντα</t>
  </si>
  <si>
    <t>(μέγιστο 5 ανά κατηγορία)</t>
  </si>
  <si>
    <t>Μειωμένη δυσλειτουργία ή βλάβη μηχανημάτων και εξοπλισμού</t>
  </si>
  <si>
    <t>Βελτιωμένη απόδοση εξοπλισμού</t>
  </si>
  <si>
    <t>Μεγαλύτερη διάρκεια ζωής του εξοπλισμού (λόγω μειωμένης φθοράς)</t>
  </si>
  <si>
    <t>Βελτιωμένη ποιότητα / συνέπεια προϊόντος</t>
  </si>
  <si>
    <t>Αυξημένη αξιοπιστία παραγωγής (λόγω καλύτερου ελέγχου)</t>
  </si>
  <si>
    <t>Μεγαλύτερη ποικιλία προιόντων</t>
  </si>
  <si>
    <t>Μειωμένο κόστος εξυπηρέτησης πελατών (λόγω καλύτερης ποιότητας)</t>
  </si>
  <si>
    <t>Βελτιωμένη ευελιξία παραγωγής</t>
  </si>
  <si>
    <t>Μειωμένη ανάγκη πρώτων υλών</t>
  </si>
  <si>
    <t>Μειωμένα αναλώσιμα</t>
  </si>
  <si>
    <t>Μικρότερος κύκλος παραγωγής (μικρότερος χρόνος κύκλου διαδικασίας)</t>
  </si>
  <si>
    <t>Αυξημένος όγκος παραγωγής</t>
  </si>
  <si>
    <t>Αυξημένες αποδόσεις παραγωγής</t>
  </si>
  <si>
    <t>Αριθμός βλαβών / ελαττωμάτων</t>
  </si>
  <si>
    <t>Ποσοστό προεπιλεγμένων τεμαχίων / τεμαχίων που παράγονται</t>
  </si>
  <si>
    <t>Κόστος εξοπλισμού - καθυστέρηση δαπανών</t>
  </si>
  <si>
    <t>Μείωση των απωλειών παραγωγής - επανάληψη</t>
  </si>
  <si>
    <t>Ποσοστό συμμόρφωσης προς τις προδιαγραφές / σύνολο παραχθέντων τεμαχίων</t>
  </si>
  <si>
    <t>Αριθμός πρόσθετων προϊόντων</t>
  </si>
  <si>
    <t>Αριθμός ανακλήσεων προϊόντος * κόστος ανάκλησης προϊόντος</t>
  </si>
  <si>
    <t>Time-to-market - χρόνος απόδοσης</t>
  </si>
  <si>
    <t>Ποσοστό πρώτων υλών όγκου παραγωγής                                                                                        (σε τν / χρόνο) * κόστος υλικού (σε EUR / τν)</t>
  </si>
  <si>
    <t>Διάρκεια του χρόνου παραγωγής</t>
  </si>
  <si>
    <t>Σύνολο εισαγωγών/σύνολο εξαγωγών</t>
  </si>
  <si>
    <t>Περιοχή:Απόβλητα  &amp; νερό</t>
  </si>
  <si>
    <t>Μειωμένη θερμότητα αποβλήτων</t>
  </si>
  <si>
    <t>Επαναχρησιμοποίηση της σπατάλης θερμότητας</t>
  </si>
  <si>
    <t>Μειωμένα επικίνδυνα απόβλητα</t>
  </si>
  <si>
    <t>Μειωμένη κατανάλωση νερού</t>
  </si>
  <si>
    <t>Μειωμένος όγκος λυμάτων</t>
  </si>
  <si>
    <t>Μειωμένο επίπεδο ρύπανσης λυμάτων</t>
  </si>
  <si>
    <t>Μειωμένα απόβλητα προϊόντων</t>
  </si>
  <si>
    <t>Μειωμένα άλλα απόβλητα (π.χ. μη επικίνδυνα αναλώσιμα)</t>
  </si>
  <si>
    <t>Ποσότητα (συνολική ή ως ποσοστό της παραγωγής)</t>
  </si>
  <si>
    <t>Ποσότητα (ποσοστό της συνολικής θερμότητας αποβλήτων)</t>
  </si>
  <si>
    <t>Νερό - όγκος παραγωγής (ή σε ποσοστό του κύκλου εργασιών)                                                                                                                  (m3 / χρόνο) * κόστος νερού (σε EUR / m3)</t>
  </si>
  <si>
    <t>Σύνθεση</t>
  </si>
  <si>
    <t>Ποσότητα (ολική ή ως ποσοστό της παραγωγής)</t>
  </si>
  <si>
    <t>Περιοχή: Έκπομπές αερίων</t>
  </si>
  <si>
    <t>Μειωμένες εκπομπές σκόνης</t>
  </si>
  <si>
    <t>Μειωμένες εκπομπές CO, CO2, NOx, SOx</t>
  </si>
  <si>
    <t>Μείωση εκπομπών φθοριούχων (ψυκτικών) αερίων</t>
  </si>
  <si>
    <t>Περιοχή: Συντήρηση</t>
  </si>
  <si>
    <t>Μειωμένο κόστος συντήρησης</t>
  </si>
  <si>
    <t>Μειωμένη φθορά μηχανημάτων και εξοπλισμού</t>
  </si>
  <si>
    <t>Μειωμένο κόστος ελέγχου μηχανικού</t>
  </si>
  <si>
    <t>Μεγαλύτερη διάρκεια ζωής του εξοπλισμού με αποτέλεσμα μειωμένο επίπεδο επίπεδο μηχανημάτων</t>
  </si>
  <si>
    <t>Κόστος τεχνικού ελέγχου</t>
  </si>
  <si>
    <t>Περιοχή: Εργασιακό περιβάλλον</t>
  </si>
  <si>
    <t>Μειωμένος θόρυβος</t>
  </si>
  <si>
    <t>Βελτίωση ποιότητας αέρα</t>
  </si>
  <si>
    <t>Βελτιωμένη θερμική άνεση</t>
  </si>
  <si>
    <t>Βελτιωμένη οπτική άνεση</t>
  </si>
  <si>
    <t>Βελτιωμένη παραγωγικότητα εργατικού δυναμικού</t>
  </si>
  <si>
    <t>Μειωμένη απουσία</t>
  </si>
  <si>
    <t>Μείωση του κόστους υγείας</t>
  </si>
  <si>
    <t>Μειωμένη ανάγκη για προστατευτικό εξοπλισμό</t>
  </si>
  <si>
    <t xml:space="preserve">Χρόνος έκθεσης Ντεσιμπέλ * </t>
  </si>
  <si>
    <t>Αριθμός σωματιδίων / m2</t>
  </si>
  <si>
    <t>Ευημερία</t>
  </si>
  <si>
    <t>Ευημερία-παραγωγικότητα</t>
  </si>
  <si>
    <t>Εξαρτάται από τις εργασίες (επαναλαμβανόμενες ή όχι)</t>
  </si>
  <si>
    <t>Ημέρες απουσίας ασθένειας * κόστος ανά ημέρα</t>
  </si>
  <si>
    <t>Μείωση ασφαλίστρων</t>
  </si>
  <si>
    <t xml:space="preserve">Κόστος εξοπλισμου </t>
  </si>
  <si>
    <t>Περιοχή: Διαχείριση κινδύνου</t>
  </si>
  <si>
    <t>Μειωμένος κίνδυνος ατυχήματος και επαγγελματικής ασθένειας</t>
  </si>
  <si>
    <t>Μειωμένοι κίνδυνοι τιμών CO2 και ενέργειας</t>
  </si>
  <si>
    <t>Μειωμένος κίνδυνος τιμής νερού</t>
  </si>
  <si>
    <t>Μειωμένος νομικός κίνδυνος</t>
  </si>
  <si>
    <t>Μειωμένη διακοπή του κινδύνου ενεργειακού εφοδιασμού</t>
  </si>
  <si>
    <t>Μειωμένη διακοπή (άλλων) προμηθειών</t>
  </si>
  <si>
    <t>Αριθμός ατυχημάτων/έτος</t>
  </si>
  <si>
    <t>Διακύμανση τιμών (βάσει ETS ή προβλέψεων τιμών ενέργειας)</t>
  </si>
  <si>
    <t>Αβεβαιότητα στην τιμή του νερού ή έτη για τα οποία η τιμή του νερού συμφωνείται συμβατικά με τον προμηθευτή</t>
  </si>
  <si>
    <t>Αριθμός αγωγών ή νομικών διαφορών</t>
  </si>
  <si>
    <t>Ποσοστό διαθεσιμότητας ενεργειακού εφοδιασμού (π.χ. ποσοστό διακοπής παροχής ηλεκτρικής ενέργειας)</t>
  </si>
  <si>
    <t>Περιοχή:Άλλοι</t>
  </si>
  <si>
    <t>Αυξημένη ασφάλεια εγκατάστασης</t>
  </si>
  <si>
    <t>Βελτιωμένη ικανοποίηση και πίστη του προσωπικού</t>
  </si>
  <si>
    <t>Μειωμένος κύκλος εργασιών προσωπικού</t>
  </si>
  <si>
    <t>Καθυστερημένες ή μειωμένες κεφαλαιουχικές δαπάνες</t>
  </si>
  <si>
    <t>Μειωμένο κόστος ασφάλισης</t>
  </si>
  <si>
    <t>Πρόσθετος χώρος / Βελτιωμένη χρήση χώρου</t>
  </si>
  <si>
    <t>Απλοποίηση &amp; αυτοματοποίηση τελωνειακών διαδικασιών</t>
  </si>
  <si>
    <t>Συμβολή στο όραμα ή τη στρατηγική της εταιρείας</t>
  </si>
  <si>
    <t>Βελτιωμένη εικόνα ή φήμη</t>
  </si>
  <si>
    <t>Αυξημένη γνώση παραγωγής / βοηθητικών διαδικασιών</t>
  </si>
  <si>
    <t>Αυξημένη αξία περιουσιακών στοιχείων</t>
  </si>
  <si>
    <t>Συμβολή στην συμμόρφωση με κανόνες / αναφορά</t>
  </si>
  <si>
    <t>Αριθμός συμβάντων ανά έτος * μέσο κόστος (ή άλλος αντίκτυπος) ανά συμβάν</t>
  </si>
  <si>
    <t>Μέσος αριθμός ετών που εργάζονται οι εργαζόμενοι στην εταιρεία</t>
  </si>
  <si>
    <t>Ικανοποίηση εργαζομένων</t>
  </si>
  <si>
    <t>Κόστος εξοπλισμού που απεφεύχθη</t>
  </si>
  <si>
    <t>Ασφαλιστικό κόστος σχέτικό με το κίνδυνο</t>
  </si>
  <si>
    <t>Αριθμός  m2 που εξοικονομήθηκαν</t>
  </si>
  <si>
    <t>Αριθμός ωρών που δαπανάται για διαδικασίες ανά έτος * μισθοί / ώρα</t>
  </si>
  <si>
    <t>Αξία περιουσιακών στοιχείων</t>
  </si>
  <si>
    <t># 5: Αξιολογητής NEB: Αναλύστε τα σχετικά οφέλη εκτός ενέργειας με περισσότερες λεπτομέρειες</t>
  </si>
  <si>
    <t>Ξεκινήστε μια λεπτομερή ανάλυση για τα επιλεγμένα και κατά προτεραιότητα NEBs. Προσπαθήστε να τα αξιολογήσετε με ποιοτικό ή ποσοτικό τρόπο και να κατατάξετε ως προς την χρηματική τους απόδοση εάν είναι δυνατόν. Σε ποιο βαθμό επηρεάζονται τα άλλα στάδια της ψυχρής εφοδιαστικής αλυσίδας ψυχρής από το NEB;</t>
  </si>
  <si>
    <t>Επισκόπηση των προτεραιοτήτων NEB για το EEM σας</t>
  </si>
  <si>
    <t>Παρακάτω θα βρείτε μια επισκόπηση των προηγουμένως αναγνωρισμένων NEBs που ταξινομούνται βάσει της συμβολής τους στη στρατηγική σύμφωνα με την αύξηση της αξίας, τη μείωση του κόστους και τη μείωση του κινδύνου για το EEM σας.</t>
  </si>
  <si>
    <t>NEBs για μείωση κόστους</t>
  </si>
  <si>
    <t>NEBs για αύξηση της πρότασης αξίας</t>
  </si>
  <si>
    <t>NEBs για μείωση κινδύνου</t>
  </si>
  <si>
    <t>Σε βάθος ανάλυση των NEBs σας</t>
  </si>
  <si>
    <t>Για τα αναγνωρισμένα και ταξινομημένα NEB σας: Προσπαθήστε να αξιολογήσετε τις παραμέτρους στον παρακάτω πίνακα.</t>
  </si>
  <si>
    <t>Βασικός δείκτης απόδοσης (KPI):</t>
  </si>
  <si>
    <t>Τα KPIs επικολλούνται αυτόματα. Προσαρμόστε τους δικούς σας δείκτες για να αξιολογήσετε το NEB εάν είναι απαραίτητο (στήλη D).</t>
  </si>
  <si>
    <t>Πηγή δεδομένων για δείκτη:</t>
  </si>
  <si>
    <t>Υποδείξτε την πηγή των δεδομένων στην εταιρεία, π.χ. τμήμα (στήλη Ε).</t>
  </si>
  <si>
    <t>Αναμενόμενες επιπτώσεις:</t>
  </si>
  <si>
    <t>Υποδείξτε τον αντίκτυπο του NEB σε ποιοτικούς ή νομισματικούς όρους, εάν είναι δυνατόν (στήλη F).</t>
  </si>
  <si>
    <t>Υποδείξτε εάν και πώς άλλα στάδια της ψυχρής εφοδιαστικής αλυσίδας/ άλλοι συνεργάτες κερδίζουν επίσης από το NEB (στήλη G).</t>
  </si>
  <si>
    <t>Περιοχή:ΚΟΣΤΗ</t>
  </si>
  <si>
    <t>Βασικός δείκτης απόδοσης                                                                                                   (αντικατάσταση εάν χρειάζεται)</t>
  </si>
  <si>
    <t>Πηγή δεδομένων για δείκτη                                                                                                (π.χ. τμήμα εταιρείας)</t>
  </si>
  <si>
    <t>Αναμενόμενος αντίκτυπος                                                                                                          (π.χ. όσον αφορά την εξοικονόμηση ευρώ)</t>
  </si>
  <si>
    <t>Αναμενόμενος αντίκτυπος σε άλλους στην ψυχρή εφοδιαστική αλυσίδα</t>
  </si>
  <si>
    <t>Περιοχή: ΠΡΟΤΑΣΗ ΑΞΙΑΣ</t>
  </si>
  <si>
    <t>Περιοχή: ΚΙΝΔΥΝΟΙ</t>
  </si>
  <si>
    <t># 5: Αξιολογητής NEB: Λίστες</t>
  </si>
  <si>
    <t xml:space="preserve">Στρατηγική Σημασία  </t>
  </si>
  <si>
    <t>καμία</t>
  </si>
  <si>
    <t>χαμηλή</t>
  </si>
  <si>
    <t>μεσαία</t>
  </si>
  <si>
    <t>υψηλή</t>
  </si>
  <si>
    <t>Φύση των δεδομένων</t>
  </si>
  <si>
    <t>ποσοτική</t>
  </si>
  <si>
    <t>ποιοτική</t>
  </si>
  <si>
    <t>NEB σε CSC</t>
  </si>
  <si>
    <t>#5 : Évaluateur du BNE : Info</t>
  </si>
  <si>
    <t xml:space="preserve">Cet outil sur les bénéfices non-énergétiques (BNE) devrait servir d'approche pour découvrir le sujet des BNE de manière exemplaire. Les mesures d'efficacité énergétique (MEE) peuvent entraîner, en plus des économies d'énergie évidentes, des avantages non énergétiques, par exemple une compétitivité accrue, des besoins de maintenance réduits ou un meilleur environnement de travail. Les BNE sont facilement sous-estimés, ou même non pris en compte, dans le processus d'évaluation d'un projet d'économie d'énergie. </t>
  </si>
  <si>
    <t>Langue :</t>
  </si>
  <si>
    <t>Note importante : Veuillez choisir votre langue avant d'ajouter des données à l'outil vide et ne changez pas la langue par la suite. Sinon, des problèmes peuvent survenir en raison des champs déroulants qui ne sont pas mis à jour automatiquement en fonction du nouveau paramètre de langue.</t>
  </si>
  <si>
    <t xml:space="preserve">Version : </t>
  </si>
  <si>
    <t xml:space="preserve">Objectif : </t>
  </si>
  <si>
    <t>Le but de cet outil est d'introduire les BNE possibles des mesures d'efficacité énergétique, leur classification et leur évaluation stratégique dans le processus de décision d'une MEE. Un autre objectif de l'outil est d'évaluer les BNE non seulement du point de vue d'une entreprise individuelle mais aussi tout au long de la chaîne du froid.</t>
  </si>
  <si>
    <t>Groupe cible :</t>
  </si>
  <si>
    <t>Responsables de la chaîne d'approvisionnement et responsables de l'environnement</t>
  </si>
  <si>
    <t>Code couleur :</t>
  </si>
  <si>
    <t>Le champ est un champ de saisie et nécessite la saisie de l'utilisateur.</t>
  </si>
  <si>
    <t>Informations transférées depuis une autre partie du classeur.</t>
  </si>
  <si>
    <t>Informations calculées sur la base d'autres valeurs.</t>
  </si>
  <si>
    <t>Remerciements :</t>
  </si>
  <si>
    <t>L'équipe du projet ICCEE est reconnaissante du soutien apporté par son projet frère M-Benefits (https://www.mbenefits.eu/) qui a fourni la base de cet outil.</t>
  </si>
  <si>
    <t xml:space="preserve">Copyright : </t>
  </si>
  <si>
    <t>(c) Projet ICCEE, 2021 (www.iccee.eu)</t>
  </si>
  <si>
    <t>Tous droits réservés ; aucune partie de ce document ne peut être traduite, reproduite, stockée dans un système d'extraction ou transmise sous quelque forme ou par quelque moyen que ce soit, électronique, mécanique, photocopie, réenregistrement ou autre, sans l'autorisation écrite de l'éditeur. De nombreuses désignations utilisées par les fabricants et les vendeurs pour distinguer leurs produits sont revendiquées comme des marques commerciales. La citation de ces désignations de quelque manière que ce soit n'implique pas la conclusion que l'utilisation de ces désignations est légale sans le contenu du propriétaire de la marque. La responsabilité du document incombe exclusivement au projet. Le document ne reflète pas nécessairement l'opinion de l'Union européenne. Ni l'EASME ni la Commission européenne ne sont responsables de l'usage qui pourrait être fait des informations qu'il contient. La version anglaise du copyright fait autorité. Les versions dans d'autres langues ne sont données qu'à titre d'information.</t>
  </si>
  <si>
    <t>#5 : Évaluateur de BNE : Versions</t>
  </si>
  <si>
    <t>Historique des versions</t>
  </si>
  <si>
    <t>Changement</t>
  </si>
  <si>
    <t>Changement par</t>
  </si>
  <si>
    <t>#5 : Évaluateur de BNE : Identifier les avantages non énergétiques pertinents pour votre mesure d'efficacité énergétique</t>
  </si>
  <si>
    <t>Les mesures d'efficacité énergétique (MEE) peuvent entraîner, en plus des économies d'énergie évidentes, des bénéfices non énergétiques (BNE), tels qu'une compétitivité accrue, des besoins de maintenance réduits ou un meilleur environnement de travail. Un modèle de chaîne d'approvisionnement en froid comprend plusieurs étapes, du fournisseur de matières premières au détaillant. Dans ce qui suit, nous vous invitons à analyser une mesure d'efficacité énergétique exemplaire mise en œuvre dans votre entreprise ou votre chaîne du froid et à en examiner les effets positifs pour vous et les autres étapes de votre chaîne.</t>
  </si>
  <si>
    <t>Définissez votre mesure d'efficacité énergétique</t>
  </si>
  <si>
    <t>Choisissez et décrivez une mesure d'efficacité énergétique récemment mise en œuvre dans votre entreprise, si elle existe. Si aucune mesure récente n'a été mise en œuvre, choisissez une mesure hypothétique sur la base de votre expérience. Veuillez considérer s'il existe des projets d'économie d'énergie déjà mis en œuvre ou planifiés en coopération avec d'autres membres de votre chaîne du froid qui pourraient être intéressants pour une évaluation.</t>
  </si>
  <si>
    <t>Titre de la MEE</t>
  </si>
  <si>
    <t>Sélectionnez les bénéfices non-énergétiques pertinents</t>
  </si>
  <si>
    <t xml:space="preserve">Pour la MEE que vous avez choisie : veuillez suivre les trois étapes ci-dessous, c'est-à-dire identifier les BNE pertinents et évaluer et analyser leur importance pour la stratégie de votre entreprise, respectivement de votre chaîne logistique du froid. </t>
  </si>
  <si>
    <t>#1 : Pertinence</t>
  </si>
  <si>
    <t xml:space="preserve">BNE pertinents : Parcourez la liste des BNE avec les indicateurs suggérés et sélectionnez ceux qui sont pertinents pour votre MEE en cochant la case "X" (colonne G). </t>
  </si>
  <si>
    <t>#2 : Importance</t>
  </si>
  <si>
    <t>Importance stratégique : Évaluez leur importance pour la stratégie en sélectionnant la case appropriée (colonne H).</t>
  </si>
  <si>
    <t>#3 : Analyse</t>
  </si>
  <si>
    <t>Analyse stratégique : Commencez par les BNE les mieux classés et classez leur contribution à la stratégie en fonction de la réduction des coûts, de l'augmentation de la proposition de valeur et de la réduction des risques pour votre MEE (mettez un "X" en conséquence, maximum de 5 par catégorie, colonnes I à K).</t>
  </si>
  <si>
    <t xml:space="preserve">Coûts : </t>
  </si>
  <si>
    <t>Économies monétaires résultant de l'introduction de la MEE. Les MEE peuvent réduire les coûts d'une entreprise, bien au-delà des coûts énergétiques.</t>
  </si>
  <si>
    <t xml:space="preserve">Proposition de valeur :  </t>
  </si>
  <si>
    <t>Valeur ajoutée non monétaire de l'EEM pour le client ou les employés. L'augmentation de la valeur se traduit par des revenus supplémentaires. Par exemple, les clients veulent acheter davantage de produits de haute qualité.</t>
  </si>
  <si>
    <t xml:space="preserve">Risques : </t>
  </si>
  <si>
    <t xml:space="preserve">Les MEE peuvent entraîner une réduction des risques importants, ce qui se traduit par une augmentation de la proposition de valeur et une diminution des coûts. Par exemple, réduction du risque de maladie du personnel ou de production. </t>
  </si>
  <si>
    <t>Domaine et avantage non énergétique</t>
  </si>
  <si>
    <t>Exemples d'indicateurs</t>
  </si>
  <si>
    <t xml:space="preserve">Étape 1 : _x000D_
Pertinence_x000D_
Étape n° 2 : </t>
  </si>
  <si>
    <t>Importance</t>
  </si>
  <si>
    <t xml:space="preserve">Étape 3 : _x000D_
Analyse stratégique </t>
  </si>
  <si>
    <t>Veuillez ne sélectionner qu'un maximum de cinq BNE par catégorie</t>
  </si>
  <si>
    <t>Domaine : Production et produits</t>
  </si>
  <si>
    <t>(maximum de 5 par catégorie)</t>
  </si>
  <si>
    <t xml:space="preserve">Réduction des dysfonctionnements ou des pannes des machines et des équipements </t>
  </si>
  <si>
    <t>Amélioration des performances des équipements</t>
  </si>
  <si>
    <t>Durée de vie plus longue des équipements (en raison de la réduction de l'usure)</t>
  </si>
  <si>
    <t>Amélioration de la qualité/cohérence des produits</t>
  </si>
  <si>
    <t>Fiabilité accrue de la production (grâce à un meilleur contrôle)</t>
  </si>
  <si>
    <t>Gamme de produits plus large</t>
  </si>
  <si>
    <t>Réduction des coûts de service à la clientèle (grâce à une meilleure qualité)</t>
  </si>
  <si>
    <t>Amélioration de la flexibilité de la production</t>
  </si>
  <si>
    <t>Réduction des besoins en matières premières</t>
  </si>
  <si>
    <t>Réduction des consommables</t>
  </si>
  <si>
    <t>Cycle de production plus court (temps de cycle du processus plus court)</t>
  </si>
  <si>
    <t>Augmentation du volume de production</t>
  </si>
  <si>
    <t>Augmentation des rendements de production</t>
  </si>
  <si>
    <t>Nombre de pannes/défauts</t>
  </si>
  <si>
    <t>Pourcentage de pièces défectueuses/pièces produites</t>
  </si>
  <si>
    <t xml:space="preserve">Coût de l'équipement - dépenses retardées </t>
  </si>
  <si>
    <t>Réduction des pertes de production - refaire</t>
  </si>
  <si>
    <t>Pourcentage de conformité aux spécifications/total des pièces produites</t>
  </si>
  <si>
    <t>Nombre de produits supplémentaires</t>
  </si>
  <si>
    <t>Nombre de rappels de produits * coût du rappel de produits</t>
  </si>
  <si>
    <t>Délai de mise sur le marché - temps de passage</t>
  </si>
  <si>
    <t xml:space="preserve"> Pourcentage de matières premières du volume de production_x000D_
(en t/an) * coût des matières (en EUR/t) </t>
  </si>
  <si>
    <t>Durée de la production</t>
  </si>
  <si>
    <t>Total des sorties/total des entrées</t>
  </si>
  <si>
    <t>Domaine : Déchets et eau</t>
  </si>
  <si>
    <t>Réduction de la chaleur résiduelle</t>
  </si>
  <si>
    <t>Réutilisation de la chaleur résiduelle</t>
  </si>
  <si>
    <t>Réduction des déchets dangereux</t>
  </si>
  <si>
    <t>Réduction de la consommation d'eau</t>
  </si>
  <si>
    <t>Réduction du volume des eaux usées</t>
  </si>
  <si>
    <t>Réduction du niveau de pollution des eaux usées</t>
  </si>
  <si>
    <t>Réduction des déchets de produits</t>
  </si>
  <si>
    <t>Réduction des autres déchets (par exemple, les consommables non dangereux)</t>
  </si>
  <si>
    <t>Quantité (totale ou en % de la production)</t>
  </si>
  <si>
    <t>Quantité (% de la chaleur résiduelle totale)</t>
  </si>
  <si>
    <t xml:space="preserve"> Eau - volume de production (ou en % du chiffre d'affaires)_x000D_
(m3/a) * coûts de l'eau (en EUR/m3) </t>
  </si>
  <si>
    <t>Domaine : Émissions gazeuses</t>
  </si>
  <si>
    <t>Réduction des émissions de poussières</t>
  </si>
  <si>
    <t>Réduction des émissions de CO, CO2, NOx, SOx</t>
  </si>
  <si>
    <t>Réduction des émissions de gaz fluorés (réfrigérants)</t>
  </si>
  <si>
    <t>Domaine : Maintenance</t>
  </si>
  <si>
    <t>Réduction des coûts de maintenance</t>
  </si>
  <si>
    <t>Réduction de l'usure des machines et des équipements</t>
  </si>
  <si>
    <t>Réduction des coûts de contrôle technique</t>
  </si>
  <si>
    <t>Durée de vie plus longue des équipements, donc réduction des coûts nivelés des machines</t>
  </si>
  <si>
    <t>Coût du contrôle technique</t>
  </si>
  <si>
    <t>Domaine : Environnement de travail</t>
  </si>
  <si>
    <t>Réduction du bruit</t>
  </si>
  <si>
    <t>Amélioration de la qualité de l'air</t>
  </si>
  <si>
    <t>Amélioration du confort thermique</t>
  </si>
  <si>
    <t>Amélioration du confort visuel</t>
  </si>
  <si>
    <t xml:space="preserve">Amélioration de la productivité du personnel </t>
  </si>
  <si>
    <t>Réduction de l'absentéisme</t>
  </si>
  <si>
    <t>Réduction des coûts de santé</t>
  </si>
  <si>
    <t>Réduction des besoins en équipements de protection</t>
  </si>
  <si>
    <t>Décibels* temps d'exposition</t>
  </si>
  <si>
    <t>Nombre de particules/m2</t>
  </si>
  <si>
    <t>Bien-être</t>
  </si>
  <si>
    <t>Bien-être - productivité</t>
  </si>
  <si>
    <t>Dépend des tâches (répétitives ou non)</t>
  </si>
  <si>
    <t>Jours d'absence pour cause de maladie * coût par jour</t>
  </si>
  <si>
    <t>Réduction des primes d'assurance</t>
  </si>
  <si>
    <t>Coût de l'équipement</t>
  </si>
  <si>
    <t>Domaine : Gestion des risques</t>
  </si>
  <si>
    <t>Réduction des risques d'accidents et de maladies professionnelles</t>
  </si>
  <si>
    <t>Réduction des risques liés au CO2 et au prix de l'énergie</t>
  </si>
  <si>
    <t>Réduction des risques liés au prix de l'eau</t>
  </si>
  <si>
    <t>Réduction des risques juridiques</t>
  </si>
  <si>
    <t>Réduction des risques de perturbation de l'approvisionnement en énergie</t>
  </si>
  <si>
    <t>Réduction des perturbations de l'approvisionnement (autres)</t>
  </si>
  <si>
    <t>Nombre d'accidents / an</t>
  </si>
  <si>
    <t>Variabilité des prix (sur la base des prévisions de prix de l'ETS ou de l'énergie)</t>
  </si>
  <si>
    <t>Incertitude quant au prix de l'eau ou aux années pour lesquelles le prix de l'eau est convenu contractuellement avec le fournisseur</t>
  </si>
  <si>
    <t>Nombre de poursuites ou de litiges juridiques</t>
  </si>
  <si>
    <t>Taux de disponibilité de l'approvisionnement en énergie (par exemple, taux de perturbation de l'approvisionnement en électricité)</t>
  </si>
  <si>
    <t>Domaine : Autres</t>
  </si>
  <si>
    <t>Sécurité accrue des installations</t>
  </si>
  <si>
    <t>Amélioration de la satisfaction et de la fidélité du personnel</t>
  </si>
  <si>
    <t>Réduction de la rotation du personnel</t>
  </si>
  <si>
    <t>Retard ou réduction des dépenses d'investissement</t>
  </si>
  <si>
    <t xml:space="preserve">Réduction des coûts d'assurance </t>
  </si>
  <si>
    <t>Espace supplémentaire / Meilleure utilisation de l'espace</t>
  </si>
  <si>
    <t>Simplification et automatisation des procédures douanières</t>
  </si>
  <si>
    <t>Contribution à la vision ou à la stratégie de l'entreprise</t>
  </si>
  <si>
    <t>Amélioration de l'image ou de la réputation</t>
  </si>
  <si>
    <t>Meilleure connaissance des processus de production/auxiliaires</t>
  </si>
  <si>
    <t>Augmentation de la valeur des actifs</t>
  </si>
  <si>
    <t>Contribution à la conformité réglementaire/à l'établissement de rapports</t>
  </si>
  <si>
    <t>Nombre d'incidents par an * coûts moyens (ou autre impact) par incident</t>
  </si>
  <si>
    <t xml:space="preserve">Nombre moyen d'années pendant lesquelles les employés travaillent dans l'entreprise </t>
  </si>
  <si>
    <t>Satisfaction des employés</t>
  </si>
  <si>
    <t>Coût de l'équipement évité</t>
  </si>
  <si>
    <t xml:space="preserve">Coût d'assurance lié au risque </t>
  </si>
  <si>
    <t>Nombre de m2 économisés</t>
  </si>
  <si>
    <t>Nombre d'heures consacrées aux procédures par an * salaire/h</t>
  </si>
  <si>
    <t>Valeur des actifs</t>
  </si>
  <si>
    <t>#5 : Évaluateur de BNE : Analyser plus en détail les bénéfices non énergétiques pertinents</t>
  </si>
  <si>
    <t>Commencez une analyse détaillée des BNE que vous avez choisis et classés par ordre de priorité. Essayez de les évaluer de manière qualitative ou quantitative et de les monétiser si possible. Dans quelle mesure les autres étapes de votre chaîne d'approvisionnement en froid sont-elles touchées par le BNE ?</t>
  </si>
  <si>
    <t>Aperçu des BNE priorisés pour votre MEE</t>
  </si>
  <si>
    <t>Vous trouverez ci-dessous une vue d'ensemble des BNE identifiés précédemment, classés selon leur contribution à la stratégie d'augmentation de la proposition de valeur, de réduction des coûts et de réduction des risques pour votre MEE.</t>
  </si>
  <si>
    <t>BNE pour la réduction des coûts</t>
  </si>
  <si>
    <t>BNE pour l'augmentation de la proposition de valeur</t>
  </si>
  <si>
    <t>BNE pour la réduction des risques</t>
  </si>
  <si>
    <t>Analyse approfondie de vos BNEs</t>
  </si>
  <si>
    <t>Pour vos BNE identifiés et classés : Veuillez essayer d'évaluer les paramètres du tableau ci-dessous.</t>
  </si>
  <si>
    <t xml:space="preserve">Indicateur clé de performance (KPI) : </t>
  </si>
  <si>
    <t xml:space="preserve"> Les KPI sont collés automatiquement. Adaptez à vos propres indicateurs pour évaluer le BNE si nécessaire (colonne D)._x000D_
</t>
  </si>
  <si>
    <t>Source des données de l'indicateur :</t>
  </si>
  <si>
    <t xml:space="preserve">Indiquez la source des données dans l'entreprise, par exemple le département (colonne E). </t>
  </si>
  <si>
    <t>Impacts attendus :</t>
  </si>
  <si>
    <t xml:space="preserve"> Indiquez l'impact du BNE en termes qualitatifs ou monétaires si possible (colonne F)._x000D_
_x000D_
</t>
  </si>
  <si>
    <t>Indiquez si et comment les autres étapes de la chaîne du froid/les autres partenaires profitent également du BNE (colonne G).</t>
  </si>
  <si>
    <t>Domaine : COÛTS</t>
  </si>
  <si>
    <t xml:space="preserve"> Indicateur clé de performance _x000D_
(écraser si nécessaire) </t>
  </si>
  <si>
    <t>Source de données pour l'indicateur_x000D_
(par exemple, le service de l'entreprise)</t>
  </si>
  <si>
    <t xml:space="preserve">Impact attendu_x000D_
 (par exemple, en termes d'économies d'euros) </t>
  </si>
  <si>
    <t>Impact attendu sur les autres acteurs de la chaîne du froid</t>
  </si>
  <si>
    <t>Domaine : PROPOSITION DE VALEUR</t>
  </si>
  <si>
    <t>Domaine : RISQUES</t>
  </si>
  <si>
    <t>#5 : Évaluateur du BNE : Listes</t>
  </si>
  <si>
    <t>Importance stratégique</t>
  </si>
  <si>
    <t>aucune</t>
  </si>
  <si>
    <t>faible</t>
  </si>
  <si>
    <t>moyenne</t>
  </si>
  <si>
    <t>élevée</t>
  </si>
  <si>
    <t>Nature des données</t>
  </si>
  <si>
    <t>qualitatives</t>
  </si>
  <si>
    <t>BNE dans les CSC</t>
  </si>
  <si>
    <t>#5: Evaluator NEB: Info</t>
  </si>
  <si>
    <t>Acest instrument privind beneficiile non-energetice (NEBs) ar trebui să servească drept abordare pentru a descoperi subiectul NEB într-un mod exemplar. Măsurile de eficiență energetică (EEMs) pot implica, în plus față de economiile evidente de energie, beneficii care nu sunt legate de energie, de exemplu o competitivitate sporită, cerințe reduse de întreținere sau un mediu de lucru îmbunătățit. NEB-urile sunt ușor subestimate sau chiar nu sunt luate în considerare în procesul de evaluare a unui proiect de economisire a energiei.</t>
  </si>
  <si>
    <t>Limba:</t>
  </si>
  <si>
    <t>Notă importantă: Vă rugăm să alegeți limba înainte de a adăuga orice date în instrumentul gol și nu schimbați limba acolo mai târziu. În caz contrar, pot apărea probleme din cauza câmpurilor verticale care nu se actualizează automat la noua setare de limbă.</t>
  </si>
  <si>
    <t xml:space="preserve">Versiune: </t>
  </si>
  <si>
    <t xml:space="preserve">Obiectiv: </t>
  </si>
  <si>
    <t>Scopul acestui instrument este de a introduce posibile NEB-uri ale măsurilor de eficiență energetică, clasificarea acestora și evaluarea lor strategică în procesul decizional al unei EEM. Un alt obiectiv al instrumentului este de a evalua NEB nu numai dintr-o perspectivă individuală a companiei, ci și de-a lungul întregului lanț de frig.</t>
  </si>
  <si>
    <t>Grup țintă:</t>
  </si>
  <si>
    <t>Manageri lanț de aprovizionare &amp; manageri de mediu</t>
  </si>
  <si>
    <t>Cod culoare:</t>
  </si>
  <si>
    <t>Câmpul este un câmp de input și necesită inputul utilizatorului.</t>
  </si>
  <si>
    <t>Informații transferate dintr-o parte diferită a registrului.</t>
  </si>
  <si>
    <t>Informații calculate pe baza altor valori.</t>
  </si>
  <si>
    <t>Mulţumiri:</t>
  </si>
  <si>
    <t>Echipa de proiect ICCEE mulțumește cu recunoștință pentru sprijinul de către proiectul său sora M-Benefits (https://www.mbenefits.eu/), oferind baza pentru acest instrument.</t>
  </si>
  <si>
    <t xml:space="preserve">Drepturi de autor: </t>
  </si>
  <si>
    <t>(c) Proiectul ICCEE, 2021 (www.iccee.eu)</t>
  </si>
  <si>
    <t>Toate drepturile rezervate; nici o parte a acestui document nu poate fi tradusă, reprodusă, stocată într-un sistem de recuperare sau transmisă sub orice formă sau prin orice mijloace, electronice, mecanice, fotocopiere, re-cording sau în alt mod, fără permisiunea scrisă a editorului. Multe dintre denumirile utilizate de producători și vânzători pentru a distinge produsele lor sunt revendicate ca mărci comerciale. Citatul acestor denumiri în orice mod nu implică concluzia că utilizarea acestor denumiri este legală fără conținutul proprietarului mărcii. Responsabilitatea exclusivă pentru document revine proiectului. Documentul nu reflectă neapărat opinia Uniunii Europene. Nici EASME, nici Comisia Europeană nu sunt responsabile pentru orice utilizare care poate fi făcută a informațiilor conținute în acesta. Versiunea în limba engleză a drepturilor de autor este autoritară. Versiunile în alte limbi sunt doar în scop informativ.</t>
  </si>
  <si>
    <t>#5: Evaluator NEB: Versiuni</t>
  </si>
  <si>
    <t>Istoria versiunii</t>
  </si>
  <si>
    <t>Versiunea</t>
  </si>
  <si>
    <t>Schimbare</t>
  </si>
  <si>
    <t>Schimbare de către</t>
  </si>
  <si>
    <t>#5: Evaluator NEB: Identificarea beneficiilor non-energetice relevante pentru măsura dumneavoastră de eficiență energetică</t>
  </si>
  <si>
    <t>Măsurile de eficiență energetică (EEM) pot implica, în plus față de economiile evidente de energie, beneficii care nu sunt legate de energie (NEB), cum ar fi creșterea competitivității, reducerea cerințelor de întreținere sau îmbunătățirea mediului de lucru. Un lanț de frig eșantion constă în mai multe etape, de la furnizorul de materii prime la comerciantul cu amănuntul. În cele ce urmează sunteți invitați să analizați o EEM exemplară implementată în compania dvs sau în lanțul de frig și să luați în considerare efectele pozitive pentru dvs și alte etape ale lanțului dvs.</t>
  </si>
  <si>
    <t>Definiți măsura dvs de eficiență energetică</t>
  </si>
  <si>
    <t>Alegeți și descrieți o EEM implementată recent în compania dvs., dacă este disponibilă. În cazul în care nu au fost puse în aplicare măsuri recente, alegeți o măsură ipotetică pe baza experienței dvs. Vă rugăm să luați în considerare dacă există proiecte de economisire a energiei deja puse în aplicare sau planificate în cooperare cu alți membri ai lanțului de frig, care ar putea fi interesante pentru o evaluare.</t>
  </si>
  <si>
    <t>Titlul EEM</t>
  </si>
  <si>
    <t>Descriere</t>
  </si>
  <si>
    <t>Selectați beneficii non-energetice relevante</t>
  </si>
  <si>
    <t>Pentru EEM aleasă: Vă rugăm să parcurgeți cei trei pași de mai jos, adică să identificați NEB-urile relevante și să evaluați și să analizați importanța acestora pentru strategia companiei dumneavoastră, respectiv a lanțului de frig.</t>
  </si>
  <si>
    <t>#1: Relevanța</t>
  </si>
  <si>
    <t>NEB-uri relevante: Vă rugăm să parcurgeți lista de NEB-uri împreună cu indicatorii sugerați și să selectați-i pe cei relevanți pentru EEM cu un "X" (coloana G).</t>
  </si>
  <si>
    <t>#2: Importanța</t>
  </si>
  <si>
    <t>Importanță strategică: Evaluați importanța acestora pentru strategie prin selecția corespunzătoare (coloana H).</t>
  </si>
  <si>
    <t>#3: Analiza</t>
  </si>
  <si>
    <t>Analiză strategică: Începeți cu cele mai bine clasate NEB-uri și clasificați contribuția lor la strategie în funcție de scăderea costurilor, creșterea propoziției valorii și reducerea riscului pentru EEM (puneți un "X" în consecință, maxim 5 pe categorie, coloanele I la K).</t>
  </si>
  <si>
    <t xml:space="preserve">Costuri: </t>
  </si>
  <si>
    <t>Economii monetare din introducerea EEM. EEM-urile pot reduce costurile într-o companie, cu mult dincolo de costurile cu energia.</t>
  </si>
  <si>
    <t>Propunere de valoare:</t>
  </si>
  <si>
    <t>Valoare adăugată nemonetară din EEM pentru client sau angajați. Creșterea valorii se traduce în venituri suplimentare. De exemplu, clienții doresc să cumpere mai multe produse de înaltă calitate.</t>
  </si>
  <si>
    <t xml:space="preserve">Riscuri: </t>
  </si>
  <si>
    <t>EEM pot implica o reducere a riscurilor importante care se traduc în creșterea și scăderea costurilor. De exemplu, risc redus de boală sau de producție a personalului</t>
  </si>
  <si>
    <t>Beneficiu zonal și non-energetic</t>
  </si>
  <si>
    <t>Indicatori eșantion</t>
  </si>
  <si>
    <t>Pas #1: 
Relevanța</t>
  </si>
  <si>
    <t>Pas #2: 
Importanța</t>
  </si>
  <si>
    <t>Pas #3: 
Analiza strategică</t>
  </si>
  <si>
    <t>Vă rugăm selectați doar până la cinci NEBs per categorie</t>
  </si>
  <si>
    <t>Zona: Producție &amp; produse</t>
  </si>
  <si>
    <t>(maximum 5 per categorie)</t>
  </si>
  <si>
    <t>Reducere funcționare defectuoasă sau defecțiuni ale mașinilor și echipamentelor</t>
  </si>
  <si>
    <t>Performanță îmbunătățită a echipamentului</t>
  </si>
  <si>
    <t>Durată de viață mai lungă a echipamentului (datorită uzurii reduse)</t>
  </si>
  <si>
    <t>Îmbunătățirea calității/consistenței produsului</t>
  </si>
  <si>
    <t>Fiabilitate sporită a producției (datorită unui control mai bun)</t>
  </si>
  <si>
    <t>Gamă mai largă de produse</t>
  </si>
  <si>
    <t>Costuri reduse de servicii pentru clienți (datorită calității mai bune)</t>
  </si>
  <si>
    <t>Flexibilitate îmbunătățită a producției</t>
  </si>
  <si>
    <t>Reducerea necesarului de materie primă</t>
  </si>
  <si>
    <t>Reducerea consumabilelor</t>
  </si>
  <si>
    <t>Ciclu de producție mai scurt (timp mai scurt al ciclului de proces)</t>
  </si>
  <si>
    <t>Volum al producției mărit</t>
  </si>
  <si>
    <t>Randament al producției mărit</t>
  </si>
  <si>
    <t>Numărul de defecțiuni/defecte</t>
  </si>
  <si>
    <t>Procent de piese/piese implicite produse</t>
  </si>
  <si>
    <t>Costul echipamentului - cheltuieli întârziate</t>
  </si>
  <si>
    <t>Reducerea pierderilor de producție - refacere</t>
  </si>
  <si>
    <t>Procentul de conformitate cu specificațiile/totalul pieselor produse</t>
  </si>
  <si>
    <t>Număr produse adiționale</t>
  </si>
  <si>
    <t>Numărul de rechemări de produse * costul rechemării produsului</t>
  </si>
  <si>
    <t>Timpul de vânzare - timpul de transfer</t>
  </si>
  <si>
    <t>Procent de materii prime din volumul producției (t/an) * costuri materiale (în EUR/t)</t>
  </si>
  <si>
    <t>Durata timpului de producție</t>
  </si>
  <si>
    <t>Total ieșire/total intrare</t>
  </si>
  <si>
    <t>Zona: Deșeu &amp; apă</t>
  </si>
  <si>
    <t>Reducere pierderi căldură</t>
  </si>
  <si>
    <t>Re-utilizare pierderi căldură</t>
  </si>
  <si>
    <t>Reducere deșeuri periculoase</t>
  </si>
  <si>
    <t>Reducere consum apă</t>
  </si>
  <si>
    <t>Reducere volum canalizare</t>
  </si>
  <si>
    <t>Nivel redus de poluare a apelor uzate</t>
  </si>
  <si>
    <t>Reducere pierderi produs</t>
  </si>
  <si>
    <t>Alte deșeuri reduse (de exemplu, consumabile nepericuloase)</t>
  </si>
  <si>
    <t>Cantitate (total sau ca % din producție)</t>
  </si>
  <si>
    <t>Cantitate (% din total pierderi căldură)</t>
  </si>
  <si>
    <t>Apă - volumul producției (sau în % din cifra de afaceri)
(m3/y) * costs of water (in EUR/m3)</t>
  </si>
  <si>
    <t>Compoziție</t>
  </si>
  <si>
    <t>Zona: emisii gazoase</t>
  </si>
  <si>
    <t>Reducere emisii praf</t>
  </si>
  <si>
    <t xml:space="preserve">Reducere emisii CO, CO2, NOx, SOx </t>
  </si>
  <si>
    <t>Reducere emisii gaze fluorinate (refrigerant)</t>
  </si>
  <si>
    <t>Zona: Mentenanță</t>
  </si>
  <si>
    <t>Reducere cost mentenanță</t>
  </si>
  <si>
    <t>Uzură redusă a mașinilor și echipamentelor</t>
  </si>
  <si>
    <t>Costuri reduse de control tehnic</t>
  </si>
  <si>
    <t>Durată de viață mai lungă a echipamentelor, astfel reducere cu costurile mașinilor</t>
  </si>
  <si>
    <t>Costul controlului tehnic</t>
  </si>
  <si>
    <t>Zona: mediu de lucru</t>
  </si>
  <si>
    <t>Reducere zgomot</t>
  </si>
  <si>
    <t>Calitate aer îmbunătățită</t>
  </si>
  <si>
    <t>Comfort tehnic îmbunătățit</t>
  </si>
  <si>
    <t>Comfort vizual îmbunătățit</t>
  </si>
  <si>
    <t>Productivitate îmbunătățită forță de muncă</t>
  </si>
  <si>
    <t>Absenteism redus</t>
  </si>
  <si>
    <t>Reducere a costurilor cu sănătatea</t>
  </si>
  <si>
    <t>Reducere necesar echipament protecție</t>
  </si>
  <si>
    <t>Decibeli* timp de expunere</t>
  </si>
  <si>
    <t>Număr de particule/m2</t>
  </si>
  <si>
    <t>Bunăstare</t>
  </si>
  <si>
    <t>Bunăstare - productivitate</t>
  </si>
  <si>
    <t>Dependent de taskuri (repetitive sau nu)</t>
  </si>
  <si>
    <t>Zile absente concediu medical * cost per zi</t>
  </si>
  <si>
    <t>Reducerea primelor de asigurare</t>
  </si>
  <si>
    <t xml:space="preserve">Costul echipamentului  </t>
  </si>
  <si>
    <t>Zona: Managementul riscului</t>
  </si>
  <si>
    <t>Risc redus de accident și boală profesională</t>
  </si>
  <si>
    <t>Riscuri reduse legate de CO2 și preț energie</t>
  </si>
  <si>
    <t>Risc redus preț apă</t>
  </si>
  <si>
    <t>Risc redus legal</t>
  </si>
  <si>
    <t>Risc redus întreruperi furnizare energie</t>
  </si>
  <si>
    <t>Reducerea întreruperii (altor) supplies</t>
  </si>
  <si>
    <t>Număr de accidente / an</t>
  </si>
  <si>
    <t>Variabilitatea prețurilor (pe baza ETS sau a previziunilor privind prețul energiei)</t>
  </si>
  <si>
    <t>Incertitudinea prețului apei sau a anilor pentru care prețul apei este convenit prin contract cu furnizorul</t>
  </si>
  <si>
    <t>Numărul de procese sau litigii juridice</t>
  </si>
  <si>
    <t>Rata de disponibilitate a aprovizionării cu energie (de exemplu, rata de întrerupere a aprovizionării cu energie electrică)</t>
  </si>
  <si>
    <t>Zona: Altele</t>
  </si>
  <si>
    <t>Siguranța crescută a instalației</t>
  </si>
  <si>
    <t>Îmbunătățirea satisfacției și loialității personalului</t>
  </si>
  <si>
    <t>Reducerea fluctuației de personal</t>
  </si>
  <si>
    <t>Cheltuieli de capital întârziate sau reduse</t>
  </si>
  <si>
    <t xml:space="preserve">Reducere cost asigurare </t>
  </si>
  <si>
    <t>Spațiu suplimentar / Utilizare îmbunătățită a spațiului</t>
  </si>
  <si>
    <t>Simplificarea și automatizarea procedurilor vamale</t>
  </si>
  <si>
    <t>Contribuție la viziunea și strategia companiei</t>
  </si>
  <si>
    <t>Imagine sau reputație îmbunătățită</t>
  </si>
  <si>
    <t>Creșterea cunoștințelor privind producția/procesele auxiliare</t>
  </si>
  <si>
    <t>Creșterea valorii activelor</t>
  </si>
  <si>
    <t>Contribuția la conformitatea/raportarea reglementărilor</t>
  </si>
  <si>
    <t>Numărul de incidente pe an * costuri medii (sau alt impact) per incident</t>
  </si>
  <si>
    <t>Numărul mediu de ani în care angajații lucrează la companie</t>
  </si>
  <si>
    <t>Satisfacția angajaților</t>
  </si>
  <si>
    <t>Cost al echipamentului evitat</t>
  </si>
  <si>
    <t>Costul asigurării aferente riscului</t>
  </si>
  <si>
    <t>Număr de m2 economisiți</t>
  </si>
  <si>
    <t>Numărul de ore petrecute pentru proceduri pe an * salarii/h</t>
  </si>
  <si>
    <t>Valoare active</t>
  </si>
  <si>
    <t>#5: Evaluator NEB: Analiza beneficiilor non-energetice relevante mai în detaliu</t>
  </si>
  <si>
    <t>Începeți o analiză detaliată pentru NEB-urile alese și prioritizate. Încercați să le evaluați într-un mod calitativ sau cantitativ și să le monetizați, dacă este posibil. În ce măsură sunt afectate de NEB alte etape ale lanțului dvs de frig?</t>
  </si>
  <si>
    <t>Prezentare generală a NEB-urilor prioritare pentru EEM dvs</t>
  </si>
  <si>
    <t>Mai jos găsiți o prezentare generală a NEB-urilor identificate anterior clasificate în funcție de contribuția lor la strategie în funcție de creșterea propunerii de valoare, scăderea costurilor și reducerea riscurilor pentru EEM dvs.</t>
  </si>
  <si>
    <t>NEB-uri pentru reducere cost</t>
  </si>
  <si>
    <t>NEB-uri pentru creșterea propunerii de valoare</t>
  </si>
  <si>
    <t>NEB-uri pentru reducere risc</t>
  </si>
  <si>
    <t>Analiza aprofundată a NEB-urilor dvs.</t>
  </si>
  <si>
    <t>Pentru NEB-urile identificate și clasificate: vă rugăm să încercați să evaluați parametrii din tabelul de mai jos.</t>
  </si>
  <si>
    <t xml:space="preserve">Indicator de performanță cheie (KPI): </t>
  </si>
  <si>
    <t>KPI-urile sunt lipite automat. Adaptați-vă la proprii indicatori pentru a evalua NEB, dacă este necesar (coloana D).</t>
  </si>
  <si>
    <t>Sursa de date pentru indicator:</t>
  </si>
  <si>
    <t>A se indica sursa datelor în cadrul societății, de exemplu departamentul (coloana E).</t>
  </si>
  <si>
    <t>Impacturi așteptate:</t>
  </si>
  <si>
    <t>Se indică impactul NEB în termeni calitativi sau monetari, dacă este posibil (coloana F).</t>
  </si>
  <si>
    <t>A se indica dacă și alte etape ale lanțului de frig/ alți parteneri profită, de asemenea, de NEB (coloana G).</t>
  </si>
  <si>
    <t>Zona: COSTURI</t>
  </si>
  <si>
    <t>Indicator cheie de performanță                                                                        (suprascrieți dacă este necesar)</t>
  </si>
  <si>
    <t>Sursa de date pentru indicator
(de ex. departament din companie)</t>
  </si>
  <si>
    <t>Impactul preconizat                                                                                                                       (de exemplu, în ceea ce privește economiile în euro)</t>
  </si>
  <si>
    <t>Impactul preconizat asupra altora din lanțul de frig</t>
  </si>
  <si>
    <t>Zona: PROPUNEREA DE VALOARE</t>
  </si>
  <si>
    <t>Zona : RISCURI</t>
  </si>
  <si>
    <t>#5: Evaluator NEB: Liste</t>
  </si>
  <si>
    <t>Importanța Strategică</t>
  </si>
  <si>
    <t>niciuna</t>
  </si>
  <si>
    <t>scăzută</t>
  </si>
  <si>
    <t>medie</t>
  </si>
  <si>
    <t>înaltă</t>
  </si>
  <si>
    <t>Natura datelor</t>
  </si>
  <si>
    <t>cantitative</t>
  </si>
  <si>
    <t>calitative</t>
  </si>
  <si>
    <t>NEB în CSC</t>
  </si>
  <si>
    <t>(n / χρόνο) * τιμή (Euro/ προϊόν)</t>
  </si>
  <si>
    <t>(kg/y) * disposal costs (Euro/kg)</t>
  </si>
  <si>
    <t>Wages (Euro/h) * reduced maintenance hours (h/y)</t>
  </si>
  <si>
    <t>(n/a) * precio (Euro/producto)</t>
  </si>
  <si>
    <t>(n/an) * prix (Euro/produit)</t>
  </si>
  <si>
    <t>(n/an) * preț (Euro/produs)</t>
  </si>
  <si>
    <t>(n / χρόνο) * τιμή (Euroo/ προϊόν)</t>
  </si>
  <si>
    <t>(kg/Jahr) * Entsorgungskosten (Euro/kg)</t>
  </si>
  <si>
    <t>(kg/a) * costi di smaltimento (Euroo/kg)</t>
  </si>
  <si>
    <t>(kg/a) * costes de eliminación (Euro/kg)</t>
  </si>
  <si>
    <t>(Kg / χρόνο) * κόστος διάθεσης (Euroo/ kg)</t>
  </si>
  <si>
    <t>(kg/an) * coûts d'élimination (Euro/kg)</t>
  </si>
  <si>
    <t>(kg/an) * costuri eliminare (Euro/kg)</t>
  </si>
  <si>
    <t>Löhne (Euro/Stunde) * reduzierte Wartungszeiten (hr/a)</t>
  </si>
  <si>
    <t>Salari (Euroo/h) * ore di manutenzione ridotte (h/a)</t>
  </si>
  <si>
    <t>Salarios (Euro/h) * reducción de las horas de mantenimiento (h/a)</t>
  </si>
  <si>
    <t>Μισθοί (Euroo/ ώρα) * μειωμένες ώρες συντήρησης (ωρα/ χρόνο)</t>
  </si>
  <si>
    <t>Salaires (Euro/h) * hEuroes de maintenance réduites (h/an)</t>
  </si>
  <si>
    <t>Salarii (Euro/h) * ore reduse de întreținere (h/an)</t>
  </si>
  <si>
    <t>Migliorare l'efficienza energetica della catena del freddo (ICCEE)</t>
  </si>
  <si>
    <t>Mejora de la eficiencia energética de la cadena de frío (ICCEE)</t>
  </si>
  <si>
    <t>Améliorer l'efficacité énergétique de la chaîne du froid (ICCEE)</t>
  </si>
  <si>
    <t>Îmbunătățirea Eficienței Energetice a Lanțului de Frig (ICCEE)</t>
  </si>
  <si>
    <t>Saldētu produktu ķēdes energoefektivitātes uzlabošana (ICCEE)</t>
  </si>
  <si>
    <t># 5: NEB vērtētājs: informācija</t>
  </si>
  <si>
    <t xml:space="preserve">Šim instrumentam par ieguvumiem, kas nav saistīti ar enerģiju, vajadzētu kalpot par pieeju, lai priekšzīmīgi atklātu ar enerģiju nesaistītu ieguvumu tēmu. Energoefektivitātes (EE) pasākumi papildus acīmredzamajam enerģijas ietaupījumam var ietvert ar enerģiju nesaistītus ieguvumus, piemēram, uzlabota konkurētspēja, samazinātas uzturēšanas prasības vai uzlabota darba vide. Enerģijas taupīšanas projekta novērtēšanas procesā vietējās izpildvaras iestādes tiek viegli nenovērtētas vai pat netiek ņemtas vērā. </t>
  </si>
  <si>
    <t>Valoda:</t>
  </si>
  <si>
    <t>Svarīga piezīme: Lūdzu, pirms visu datu pievienošanas tukšajam rīkam izvēlieties valodu un nemainiet valodu vēlāk. Pretējā gadījumā problēmas var rasties nolaižamo lauku dēļ, kas netiek automātiski atjaunināti uz jauno valodas iestatījumu.</t>
  </si>
  <si>
    <t>Versija:</t>
  </si>
  <si>
    <t>Mērķis:</t>
  </si>
  <si>
    <t xml:space="preserve">Šī rīka mērķis ir ieviest iespējamos energoefektivitātes pasākumu nacionālos izpildinstitūcijas, to klasifikāciju un stratēģisko novērtējumu EE pasākumu lēmumu pieņemšanas procesā. Vēl viena instrumenta uzmanība ir pievērsta ar enerģiju nesaistītu ieguvumu novērtēšanai ne tikai no individuāla uzņēmuma viedokļa, bet arī visā saldēto produktu piegādes ķēdē. </t>
  </si>
  <si>
    <t>Mērķa grupa:</t>
  </si>
  <si>
    <t>Piegādes ķēdes vadītāji un vides pārvaldītāji</t>
  </si>
  <si>
    <t>Krāsas kods:</t>
  </si>
  <si>
    <t>Lauks ir ievades lauks, un tam ir jāievada lietotājs.</t>
  </si>
  <si>
    <t>Informācija, kas pārsūtīta no citas darba grāmatas daļas.</t>
  </si>
  <si>
    <t>Informācija, kas aprēķināta, pamatojoties uz citām vērtībām.</t>
  </si>
  <si>
    <t>ICCEE projekta komanda apliecina pateicību māsas projekta M-Benefits (https://www.mbenefits.eu/) atbalstu, nodrošinot pamatu šim rīkam.</t>
  </si>
  <si>
    <t>Autortiesības:</t>
  </si>
  <si>
    <t>(c) ICCEE projekts, 2021. gads (www.iccee.eu)</t>
  </si>
  <si>
    <t>Visas tiesības aizsargātas; nevienu šī dokumenta daļu nedrīkst iztulkot, reproducēt, uzglabāt atvērtas piekļuves sistēmā vai pārsūtīt jebkādā formā vai ar jebkādiem līdzekļiem, elektroniski, mehāniski, fotokopējot, pārrakstot vai citādi, bez rakstiskas izdevēja atļaujas. Daudzi no apzīmējumiem, kurus ražotāji un pārdevēji izmanto, lai atšķirtu savus produktus, tiek uzskatīti par preču zīmēm. Šo apzīmējumu citēšana jebkādā veidā nenozīmē, ka to izmantošana ir likumīga bez preču zīmes īpašnieka satura. Vienīgā atbildība par dokumentu gulstas uz projektu. Dokuments ne vienmēr atspoguļo Eiropas Savienības viedokli. Ne EASME, ne Eiropas Komisija nav atbildīga par tajā ietvertās informācijas jebkādu izmantošanu. Autortiesības ir angļu valodā. Versijas citās valodās ir paredzētas tikai informatīviem nolūkiem.</t>
  </si>
  <si>
    <t># 5: Ar enerģiju nesaistītu ieguvumu vērtētājs: versijas</t>
  </si>
  <si>
    <t>Versijas vēsture</t>
  </si>
  <si>
    <t>Datums</t>
  </si>
  <si>
    <t>Versija</t>
  </si>
  <si>
    <t>Izmaiņas</t>
  </si>
  <si>
    <t>Izmaiņas veica</t>
  </si>
  <si>
    <t xml:space="preserve"># 5: NEB novērtētājs: nosakiet attiecīgos ieguvumus, kas nav saistīti ar enerģiju jūsu energoefektivitātes rādītājam </t>
  </si>
  <si>
    <t>Energoefektivitātes (EE) pasākumi papildus acīmredzamajam enerģijas ietaupījumam var ietvert ieguvumus, kas nav saistīti ar enerģiju, piemēram, paaugstinātu konkurētspēju, samazinātas uzturēšanas prasības vai uzlabotu darba vidi. SAldētu produktu piegādes ķēdes paraugs sastāv no vairākiem posmiem, sākot no izejvielu piegādātāja līdz mazumtirgotājam. Turpmāk jūs esat aicināts analizēt piemērotu EE pasākumu, kas ieviests jūsu uzņēmumā vai piegādes ķēdē, un apsvērt pozitīvo ietekmi uz jums un citiem ķēdes posmiem.</t>
  </si>
  <si>
    <t>Definējiet savu energoefektivitātes rādītāju</t>
  </si>
  <si>
    <t>Izvēlieties un aprakstiet nesen ieviesto EE pasākumu savā uzņēmumā, ja tas ir pieejams. Ja nesenie pasākumi nav ieviesti, izvēlieties hipotētisku mēru, pamatojoties uz savu pieredzi. Lūdzu, apsveriet, vai sadarbībā ar citiem jūsu aukstās piegādes ķēdes dalībniekiem jau ir īstenoti vai plānoti enerģijas taupīšanas projekti, kas varētu būt interesanti novērtēšanai.</t>
  </si>
  <si>
    <t>EE nosaukums</t>
  </si>
  <si>
    <t>Apraksts</t>
  </si>
  <si>
    <t>Atlasiet attiecīgos ieguvumus, kas nav saistīti ar enerģiju</t>
  </si>
  <si>
    <t>Jūsu izvēlētajam EE pasākumam: Lūdzu, veiciet trīs tālāk norādītās darbības, t.i., identificējiet atbilstošos ar enerģiju nesais'titus ieguvumus un novērtējiet un analizējiet to nozīmi sava uzņēmuma vai piegādes ķēdes stratēģijā.</t>
  </si>
  <si>
    <t># 1: Nozīmīgums</t>
  </si>
  <si>
    <t>Attiecīgie ar enerģiju nesaistītie ieguvumu: Lūdzu, izlasiet ieguvumu sarakstu, kā arī ieteiktos rādītājus un atlasiet tos, kas attiecas uz jūsu EE pasākumu, izmantojot “X” (G sleja).</t>
  </si>
  <si>
    <t># 2: Nozīme</t>
  </si>
  <si>
    <t>Stratēģiskā nozīme: novērtējiet to nozīmi stratēģijai, veicot atbilstošu atlasi (H sleja).</t>
  </si>
  <si>
    <t xml:space="preserve"># 3: analīze </t>
  </si>
  <si>
    <t>Stratēģiskā analīze: Sāciet ar visaugstāk novērtētajiem ne enerģijas ieguvumiem un klasificējiet viņu ieguldījumu stratēģijā atbilstoši izmaksu samazinājumam, vērtības pieaugumam un riska samazinājumam jūsu EE pasākumam (attiecīgi ievietojiet "X", maksimāli 5 katrai kategorijai, I līdz K kolonnas).</t>
  </si>
  <si>
    <t>Izmaksas:</t>
  </si>
  <si>
    <t>Monetārie ietaupījumi no EE pasākumu ieviešanas. EE pasākumi var samazināt uzņēmuma izmaksas, ievērojami pārsniedzot enerģijas izmaksas.</t>
  </si>
  <si>
    <t>Vērtību piedāvājums:</t>
  </si>
  <si>
    <t>EE pasākumu nemonetārā vērtība klientam vai darbiniekiem. Palielināta vērtība nozīmē papildu ienākumus. Piem., klienti vēlas iegādāties vairāk augstas kvalitātes produktu.</t>
  </si>
  <si>
    <t>Riski:</t>
  </si>
  <si>
    <t>EE pasākumi var ietvert svarīgu risku samazināšanos, kas izpaužas kā vērtības piedāvājuma pieaugums un izmaksu samazinājums. Piem., samazināts personāla slimības vai ražošanas risks</t>
  </si>
  <si>
    <t>Platības un neenerģētiskais ieguvums</t>
  </si>
  <si>
    <t>Indikatoru piemēri</t>
  </si>
  <si>
    <t xml:space="preserve">1. solis:
Atbilstība </t>
  </si>
  <si>
    <t>"2. solis:
Svarīgums "</t>
  </si>
  <si>
    <t>"3. solis:
Stratēģiskā analīze "</t>
  </si>
  <si>
    <t>Lūdzu, katrā kategorijā atlasiet tikai piecus neergētikas ieguvumus</t>
  </si>
  <si>
    <t>Joma: Ražošana un produkti</t>
  </si>
  <si>
    <t>(maksimums 5 katrā kategorijā)</t>
  </si>
  <si>
    <t>Samazināts mašīnu un iekārtu darbības traucējums vai bojājums</t>
  </si>
  <si>
    <t>Uzlabota aprīkojuma veiktspēja</t>
  </si>
  <si>
    <t xml:space="preserve">Ilgāks aprīkojuma kalpošanas laiks (samazināta nodiluma dēļ) </t>
  </si>
  <si>
    <t>Uzlabota produkta kvalitāte / konsistence</t>
  </si>
  <si>
    <t xml:space="preserve">Paaugstināta ražošanas uzticamība (labākas kontroles dēļ) </t>
  </si>
  <si>
    <t>Lielāks produktu klāsts</t>
  </si>
  <si>
    <t>Samazinātas klientu apkalpošanas izmaksas (labākas kvalitātes dēļ)</t>
  </si>
  <si>
    <t>Uzlabota ražošanas elastība</t>
  </si>
  <si>
    <t>Samazināta izejvielu vajadzība</t>
  </si>
  <si>
    <t>Samazināts palīgmateriālu daudzums</t>
  </si>
  <si>
    <t>Īsāks ražošanas cikls (īsāks procesa cikla laiks)</t>
  </si>
  <si>
    <t>Palielināts ražošanas apjoms</t>
  </si>
  <si>
    <t>Palielināta ražošanas ražība</t>
  </si>
  <si>
    <t>Sadalījumu / defektu skaits</t>
  </si>
  <si>
    <t xml:space="preserve">Saražoto noklusējuma gabalu procentuālais daudzums </t>
  </si>
  <si>
    <t>Aprīkojuma izmaksas - tēriņi samazināti</t>
  </si>
  <si>
    <t>Ražošanas zaudējumu samazināšana</t>
  </si>
  <si>
    <t>Procentuālā atbilstība specifikācijām / saražoto gabalu kopskaits</t>
  </si>
  <si>
    <t>Papildu produktu skaits</t>
  </si>
  <si>
    <t xml:space="preserve">Produktu atsaukšanas reižu skaits * produkta atsaukšanas izmaksas </t>
  </si>
  <si>
    <t>Laiks līdz tirgum - caurlaides laiks</t>
  </si>
  <si>
    <t>Izejvielu procentuālā daļa no ražošanas apjoma</t>
  </si>
  <si>
    <t>(n / g) * cena (EUR / produkts)</t>
  </si>
  <si>
    <t>Ražošanas laiks</t>
  </si>
  <si>
    <t>Kopējā izlaide / ievades kopsumma</t>
  </si>
  <si>
    <t xml:space="preserve">Platība: notekūdeņi un ūdens </t>
  </si>
  <si>
    <t>Samazināti siltuma zudumi</t>
  </si>
  <si>
    <t>Siltuma atkārtota izmantošana</t>
  </si>
  <si>
    <t>Samazināti bīstamie atkritumi</t>
  </si>
  <si>
    <t>Samazināts ūdeņs patēriņš</t>
  </si>
  <si>
    <t>Samazināts notekūdeņu daudzums</t>
  </si>
  <si>
    <t>Samazināts notekūdeņu piesārņojums</t>
  </si>
  <si>
    <t>Samazināts atkritumu daudzums</t>
  </si>
  <si>
    <t>Samazināti citi atkritumi</t>
  </si>
  <si>
    <t>Daudzums (kopā vai % no ražošanas)</t>
  </si>
  <si>
    <t>Daudzums (% no kopējiem siltuma zudumiem)</t>
  </si>
  <si>
    <t xml:space="preserve">(kg / gadā) * apglabāšanas izmaksas (EUR / kg) </t>
  </si>
  <si>
    <t xml:space="preserve">Ūdens - ražošanas apjoms (vai % no apgrozījuma)
(m3 / gadā) * ūdens izmaksas (EUR / m3) </t>
  </si>
  <si>
    <t>Daudzums (kopā vai % no produkcijas)</t>
  </si>
  <si>
    <t>Sastāvs</t>
  </si>
  <si>
    <t xml:space="preserve">Platība: gāzveida emisijas </t>
  </si>
  <si>
    <t>Samazinātas cieto daļiņu emisijas</t>
  </si>
  <si>
    <t>Samazinātas CO, CO2, Nox, Sox emisijas</t>
  </si>
  <si>
    <t>Fluorēto (dzesējošo) gāzu emisiju samazināšana</t>
  </si>
  <si>
    <t>Joma: Apkope</t>
  </si>
  <si>
    <t>Samazinātas uzturēšanas izmaksas</t>
  </si>
  <si>
    <t xml:space="preserve">Samazināts mašīnu un iekārtu nodilums </t>
  </si>
  <si>
    <t>Samazinātas inženiertehniskās kontroles izmaksas</t>
  </si>
  <si>
    <t>Algas (EUR / h) * saīsinātas tehniskās apkopes stundas (h / gadā)</t>
  </si>
  <si>
    <t>Ilgāks aprīkojuma kalpošanas laiks, samazinot mašīnas izlīdzinātās izmaksas</t>
  </si>
  <si>
    <t>Tehniskās kontroles izmaksas</t>
  </si>
  <si>
    <t xml:space="preserve">Joma: Darba vide </t>
  </si>
  <si>
    <t>Samazināts troksnis</t>
  </si>
  <si>
    <t>Gaisa kvalitātes uzlabošanās</t>
  </si>
  <si>
    <t>Uzlabots siltuma komforts</t>
  </si>
  <si>
    <t>Uzlabots vizuālais komforts</t>
  </si>
  <si>
    <t>Uzlabota darbaspēka produktivitāte</t>
  </si>
  <si>
    <t>Samazināts kavējumu skaits</t>
  </si>
  <si>
    <t>Veselības izmaksu samazināšana</t>
  </si>
  <si>
    <t>Samazināta vajadzība pēc aizsardzības līdzekļiem</t>
  </si>
  <si>
    <t>Decibeliem * iedarbības laiks</t>
  </si>
  <si>
    <t>Daļiņu skaits / m2</t>
  </si>
  <si>
    <t>Labsajūta</t>
  </si>
  <si>
    <t>Labsajūta - produktivitāte</t>
  </si>
  <si>
    <t xml:space="preserve">Atkarīgs no uzdevumiem (atkārtojas vai nē) </t>
  </si>
  <si>
    <t>Slimības prombūtnes dienas * maksa par dienu</t>
  </si>
  <si>
    <t xml:space="preserve">Apdrošināšanas prēmiju samazināšana </t>
  </si>
  <si>
    <t>Aprīkojuma izmaksas</t>
  </si>
  <si>
    <t>Joma: Riska vadība</t>
  </si>
  <si>
    <t xml:space="preserve">Samazināts nelaimes gadījumu un arodslimību risks </t>
  </si>
  <si>
    <t>Samazināts CO2 un enerģijas cenu risks</t>
  </si>
  <si>
    <t>Samazināts ūdens cenu risks</t>
  </si>
  <si>
    <t>Samazināts juridiskais risks</t>
  </si>
  <si>
    <t>Samazināts enerģijas piegādes riska pārtraukums</t>
  </si>
  <si>
    <t>Samazināts (citu) piegāžu pārtraukums</t>
  </si>
  <si>
    <t>Negadījumu skaits gadā</t>
  </si>
  <si>
    <t xml:space="preserve">Cenu mainīgums (pamatojoties uz ETS vai enerģijas cenu prognozēm) </t>
  </si>
  <si>
    <t>Neskaidrība par ūdens cenu vai gadiem, par kuriem ūdens cena ir saskaņota ar piegādātāju</t>
  </si>
  <si>
    <t>Tiesvedību vai strīdu skaits</t>
  </si>
  <si>
    <t>Enerģijas piegādes pieejamības līmenis (piemēram, elektroenerģijas piegādes traucējumu līmenis)</t>
  </si>
  <si>
    <t>Laukums: Citi</t>
  </si>
  <si>
    <t>Paaugstināta uzstādīšanas drošība</t>
  </si>
  <si>
    <t>Uzlabota personāla apmierinātība un lojalitāte</t>
  </si>
  <si>
    <t>Samazināta kadru mainība</t>
  </si>
  <si>
    <t>Kavēti vai samazināti kapitāla izdevumi</t>
  </si>
  <si>
    <t>Samazinātas apdrošināšanas izmaksas</t>
  </si>
  <si>
    <t>Papildu telpa / Uzlabota telpas izmantošana</t>
  </si>
  <si>
    <t>Muitas procedūru vienkāršošana un automatizācija</t>
  </si>
  <si>
    <t>Ieguldījums uzņēmuma redzējumā vai stratēģijā</t>
  </si>
  <si>
    <t xml:space="preserve">Uzlabots tēls vai reputācija </t>
  </si>
  <si>
    <t>Paaugstinātas zināšanas par ražošanas / palīgprocesiem</t>
  </si>
  <si>
    <t xml:space="preserve">Palielināta aktīvu vērtība </t>
  </si>
  <si>
    <t>Ieguldījums normatīvo aktu ievērošanā / ziņošanā</t>
  </si>
  <si>
    <t>Incidentu skaits gadā * vidējās izmaksas (vai cita ietekme) uz vienu incidentu</t>
  </si>
  <si>
    <t>Vidējais gadu skaits, cik ilgi darbinieki strādā uzņēmumā</t>
  </si>
  <si>
    <t>Darbinieku apmierinātība</t>
  </si>
  <si>
    <t>Izvairīšanās no liekām aprīkojuma izmaksām</t>
  </si>
  <si>
    <t>Apdrošināšanas izmaksas, kas saistītas ar risku</t>
  </si>
  <si>
    <t>Saglabāto m2 skaits</t>
  </si>
  <si>
    <t xml:space="preserve">Stundu skaits, kas pavadīts administratīvām procedūrām gadā * algas / h </t>
  </si>
  <si>
    <t>Aktīvu vērtība</t>
  </si>
  <si>
    <t># 5: Neenerģētikas ieguvumu vērtētājs: Detalizētāk analizējiet ieguvumus</t>
  </si>
  <si>
    <t>Sāciet detalizētu izvēlēto un prioritizēto vietējo tīmekļa vietņu analīzi. Mēģiniet tos novērtēt kvalitatīvi vai kvantitatīvi un, ja iespējams, monetizējiet. Cik lielā mērā ar enerģiju nesaistīti ieguvumi ietekmē citus jūsu saldēto produktu piegādes ķēdes posmus?</t>
  </si>
  <si>
    <t>Pārskats par prioritāriem ieguvumiem jūsu EE pasākumā</t>
  </si>
  <si>
    <t>Zemāk ir sniegts pārskats par jūsu iepriekš identificētajiem ieguvumiem, kas pēc ieguldījuma stratēģijā ir klasificēti atbilstoši vērtības palielināšanas, izmaksu samazināšanas un jūsu EE pasākumu riska samazināšanai.</t>
  </si>
  <si>
    <t>Ieguvumi izmaksu samazināšanai</t>
  </si>
  <si>
    <t>Ieguvumi vērtības palielināšanai</t>
  </si>
  <si>
    <t>Ieguvumi riska samazināšanai</t>
  </si>
  <si>
    <t>Padziļināta ar enerģiju nesaistītu ieguvumu analīze</t>
  </si>
  <si>
    <t>Jūsu identificētajām un klasificētajām ieguvumam: Lūdzu, mēģiniet novērtēt parametrus zemāk esošajā tabulā.</t>
  </si>
  <si>
    <t>Galvenais darbības rādītājs (KPI):</t>
  </si>
  <si>
    <t>KPI tiek automātiski izvēlēti. Pielāgojiet saviem rādītājiem, lai vajadzības gadījumā novērtētu ar enerģiju nesaistītus ieguvumus (kolonna D).</t>
  </si>
  <si>
    <t>Datu avots indikatoram:</t>
  </si>
  <si>
    <t>Norādiet datu avotu uzņēmumā, piem. nodaļa (E sleja).</t>
  </si>
  <si>
    <t>Paredzamā ietekme:</t>
  </si>
  <si>
    <t>Ja iespējams, norādiet ar enerģiju nesaistītu ieguvumu ietekmi kvalitatīvā vai monetārā izteiksmē (F sleja).</t>
  </si>
  <si>
    <t>Norādiet, vai un kā citi saldētu produktu piegādes ķēdes posmi / citi partneri gūst labumu arī no neenerģētiskiem ieguvumiem (G sleja).</t>
  </si>
  <si>
    <t>Lauciņš: IZMAKSAS</t>
  </si>
  <si>
    <t>Galvenais darbības rādītājs
(pārrakstiet, ja nepieciešams)</t>
  </si>
  <si>
    <t>Datu avots indikatoram
(piem. kompānijas departaments)</t>
  </si>
  <si>
    <t>Sagaidāmās ietekmes 
(piem. ietaupījums EUR)</t>
  </si>
  <si>
    <t>Paredzamā ietekme uz citiem saldēto produktu piegādes ķēdē</t>
  </si>
  <si>
    <t>Lauciņš: VĒRTĪBAS PRIEKŠLIKUMS</t>
  </si>
  <si>
    <t>Lauciņš: RISKS</t>
  </si>
  <si>
    <t># 5: Ieguvumu vērtētājs: saraksti</t>
  </si>
  <si>
    <t>Stratēģiskā nozīme</t>
  </si>
  <si>
    <t>nav</t>
  </si>
  <si>
    <t>zema</t>
  </si>
  <si>
    <t>vidēja</t>
  </si>
  <si>
    <t>augsta</t>
  </si>
  <si>
    <t>Dati tips</t>
  </si>
  <si>
    <t>kvantitatīvi</t>
  </si>
  <si>
    <t>kvalitatīvi</t>
  </si>
  <si>
    <t>Ar enerģiju nesaistīti ieguvumi saldēto produktu piegādes ķēdē</t>
  </si>
  <si>
    <t>zemi</t>
  </si>
  <si>
    <t>augsti</t>
  </si>
  <si>
    <t>1.0</t>
  </si>
  <si>
    <t>Tool release</t>
  </si>
  <si>
    <t>ICCEE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</si>
</sst>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1"/>
      <color indexed="8"/>
      <name val="Calibri"/>
      <family val="2"/>
      <charset val="1"/>
    </font>
    <font>
      <sz val="12"/>
      <color theme="1"/>
      <name val="Calibri"/>
      <family val="2"/>
    </font>
    <font>
      <b/>
      <sz val="14"/>
      <color rgb="FFFFFFFF"/>
      <name val="Calibri"/>
      <family val="2"/>
    </font>
    <font>
      <sz val="11"/>
      <color rgb="FF000000"/>
      <name val="Calibri"/>
      <family val="2"/>
    </font>
    <font>
      <sz val="11"/>
      <color rgb="FFFF0000"/>
      <name val="Calibri"/>
      <family val="2"/>
    </font>
    <font>
      <b/>
      <sz val="11"/>
      <color rgb="FFFAA61A"/>
      <name val="Calibri"/>
      <family val="2"/>
    </font>
    <font>
      <b/>
      <sz val="11"/>
      <color rgb="FFFFFFFF"/>
      <name val="Calibri"/>
      <family val="2"/>
    </font>
    <font>
      <b/>
      <sz val="11"/>
      <color rgb="FF000000"/>
      <name val="Calibri"/>
      <family val="2"/>
    </font>
    <font>
      <b/>
      <sz val="11"/>
      <color theme="0"/>
      <name val="Calibri"/>
      <family val="2"/>
    </font>
    <font>
      <sz val="11"/>
      <color rgb="FFFF0000"/>
      <name val="Calibri"/>
      <family val="2"/>
      <scheme val="minor"/>
    </font>
    <font>
      <b/>
      <sz val="11"/>
      <color theme="1"/>
      <name val="Calibri"/>
      <family val="2"/>
      <scheme val="minor"/>
    </font>
    <font>
      <sz val="11"/>
      <color theme="0"/>
      <name val="Calibri"/>
      <family val="2"/>
    </font>
    <font>
      <sz val="14"/>
      <color rgb="FF72BF44"/>
      <name val="Calibri"/>
      <family val="2"/>
    </font>
    <font>
      <b/>
      <sz val="14"/>
      <color theme="4"/>
      <name val="Calibri"/>
      <family val="2"/>
    </font>
    <font>
      <sz val="11"/>
      <color theme="1"/>
      <name val="Calibri"/>
      <family val="2"/>
    </font>
    <font>
      <sz val="11"/>
      <name val="Calibri"/>
      <family val="2"/>
    </font>
    <font>
      <sz val="12"/>
      <color theme="1"/>
      <name val="Calibri"/>
      <family val="2"/>
      <scheme val="minor"/>
    </font>
    <font>
      <b/>
      <sz val="11"/>
      <color rgb="FFFF0000"/>
      <name val="Calibri"/>
      <family val="2"/>
    </font>
    <font>
      <b/>
      <sz val="11"/>
      <name val="Calibri"/>
      <family val="2"/>
    </font>
    <font>
      <sz val="12"/>
      <color theme="1"/>
      <name val="Arial"/>
      <family val="2"/>
    </font>
    <font>
      <sz val="11"/>
      <name val="Calibri (Corpo)"/>
    </font>
  </fonts>
  <fills count="1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4"/>
        <bgColor rgb="FF000000"/>
      </patternFill>
    </fill>
    <fill>
      <patternFill patternType="solid">
        <fgColor theme="4" tint="0.79998168889431442"/>
        <bgColor rgb="FF000000"/>
      </patternFill>
    </fill>
    <fill>
      <patternFill patternType="solid">
        <fgColor theme="4"/>
        <bgColor indexed="64"/>
      </patternFill>
    </fill>
    <fill>
      <patternFill patternType="solid">
        <fgColor theme="0" tint="-0.499984740745262"/>
        <bgColor indexed="64"/>
      </patternFill>
    </fill>
    <fill>
      <patternFill patternType="solid">
        <fgColor theme="0" tint="-4.9989318521683403E-2"/>
        <bgColor rgb="FF000000"/>
      </patternFill>
    </fill>
    <fill>
      <patternFill patternType="solid">
        <fgColor theme="2"/>
        <bgColor rgb="FF000000"/>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0" tint="-0.249977111117893"/>
        <bgColor rgb="FF000000"/>
      </patternFill>
    </fill>
    <fill>
      <patternFill patternType="solid">
        <fgColor theme="4" tint="0.39997558519241921"/>
        <bgColor rgb="FF000000"/>
      </patternFill>
    </fill>
    <fill>
      <patternFill patternType="solid">
        <fgColor theme="4" tint="0.399975585192419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72BF44"/>
      </top>
      <bottom/>
      <diagonal/>
    </border>
    <border>
      <left/>
      <right/>
      <top/>
      <bottom style="thin">
        <color theme="4"/>
      </bottom>
      <diagonal/>
    </border>
    <border>
      <left/>
      <right style="thin">
        <color indexed="64"/>
      </right>
      <top/>
      <bottom/>
      <diagonal/>
    </border>
  </borders>
  <cellStyleXfs count="4">
    <xf numFmtId="0" fontId="0" fillId="0" borderId="0"/>
    <xf numFmtId="0" fontId="10" fillId="0" borderId="0"/>
    <xf numFmtId="0" fontId="26" fillId="0" borderId="0"/>
    <xf numFmtId="0" fontId="29" fillId="0" borderId="0"/>
  </cellStyleXfs>
  <cellXfs count="178">
    <xf numFmtId="0" fontId="0" fillId="0" borderId="0" xfId="0"/>
    <xf numFmtId="0" fontId="0" fillId="2" borderId="0" xfId="0" applyFill="1"/>
    <xf numFmtId="0" fontId="13" fillId="3" borderId="0" xfId="0" applyFont="1" applyFill="1" applyBorder="1" applyAlignment="1">
      <alignment vertical="top"/>
    </xf>
    <xf numFmtId="14" fontId="13" fillId="3" borderId="0" xfId="0" applyNumberFormat="1" applyFont="1" applyFill="1" applyBorder="1" applyAlignment="1">
      <alignment horizontal="left" vertical="top"/>
    </xf>
    <xf numFmtId="0" fontId="13" fillId="3" borderId="0" xfId="0" applyFont="1" applyFill="1" applyBorder="1" applyAlignment="1">
      <alignment vertical="top" wrapText="1"/>
    </xf>
    <xf numFmtId="0" fontId="13" fillId="3" borderId="0" xfId="0" applyFont="1" applyFill="1" applyBorder="1" applyAlignment="1"/>
    <xf numFmtId="2" fontId="13" fillId="3" borderId="0" xfId="0" applyNumberFormat="1" applyFont="1" applyFill="1" applyBorder="1" applyAlignment="1">
      <alignment horizontal="left" vertical="top"/>
    </xf>
    <xf numFmtId="0" fontId="15" fillId="3" borderId="0" xfId="0" applyFont="1" applyFill="1" applyBorder="1" applyAlignment="1">
      <alignment vertical="top"/>
    </xf>
    <xf numFmtId="14" fontId="11" fillId="3" borderId="0" xfId="0" applyNumberFormat="1" applyFont="1" applyFill="1" applyBorder="1" applyAlignment="1">
      <alignment horizontal="left" vertical="top"/>
    </xf>
    <xf numFmtId="0" fontId="11" fillId="3" borderId="0" xfId="0" applyFont="1" applyFill="1" applyBorder="1" applyAlignment="1">
      <alignment vertical="top" wrapText="1"/>
    </xf>
    <xf numFmtId="0" fontId="11" fillId="3" borderId="0" xfId="0" applyFont="1" applyFill="1" applyBorder="1" applyAlignment="1">
      <alignment horizontal="left" vertical="top"/>
    </xf>
    <xf numFmtId="0" fontId="11" fillId="3" borderId="0" xfId="0" applyFont="1" applyFill="1" applyBorder="1"/>
    <xf numFmtId="0" fontId="13" fillId="3" borderId="0" xfId="0" applyFont="1" applyFill="1" applyBorder="1" applyAlignment="1">
      <alignment vertical="center"/>
    </xf>
    <xf numFmtId="0" fontId="13" fillId="3" borderId="5" xfId="0" applyFont="1" applyFill="1" applyBorder="1" applyAlignment="1">
      <alignment vertical="center" wrapText="1"/>
    </xf>
    <xf numFmtId="0" fontId="13" fillId="3" borderId="5" xfId="0" applyFont="1" applyFill="1" applyBorder="1" applyAlignment="1">
      <alignment vertical="center"/>
    </xf>
    <xf numFmtId="0" fontId="14" fillId="3" borderId="0" xfId="0" applyFont="1" applyFill="1" applyBorder="1" applyAlignment="1">
      <alignment vertical="center"/>
    </xf>
    <xf numFmtId="0" fontId="13" fillId="3" borderId="0" xfId="0" applyFont="1" applyFill="1" applyBorder="1" applyAlignment="1">
      <alignment horizontal="left" vertical="center"/>
    </xf>
    <xf numFmtId="0" fontId="13" fillId="4" borderId="0" xfId="0" applyFont="1" applyFill="1" applyBorder="1" applyAlignment="1">
      <alignment vertical="center"/>
    </xf>
    <xf numFmtId="0" fontId="13" fillId="3" borderId="0" xfId="0" applyFont="1" applyFill="1" applyBorder="1" applyAlignment="1">
      <alignment horizontal="left" vertical="top" wrapText="1"/>
    </xf>
    <xf numFmtId="0" fontId="21" fillId="3" borderId="0" xfId="0" applyFont="1" applyFill="1" applyBorder="1" applyAlignment="1">
      <alignment vertical="center"/>
    </xf>
    <xf numFmtId="0" fontId="13" fillId="4" borderId="0" xfId="0" applyFont="1" applyFill="1" applyBorder="1" applyAlignment="1">
      <alignment vertical="top"/>
    </xf>
    <xf numFmtId="0" fontId="17" fillId="3" borderId="0" xfId="0" applyFont="1" applyFill="1" applyBorder="1" applyAlignment="1">
      <alignment vertical="top"/>
    </xf>
    <xf numFmtId="0" fontId="13" fillId="3" borderId="0" xfId="0" applyFont="1" applyFill="1" applyBorder="1" applyAlignment="1">
      <alignment horizontal="left" vertical="top" wrapText="1"/>
    </xf>
    <xf numFmtId="0" fontId="7" fillId="2" borderId="0" xfId="0" applyFont="1" applyFill="1" applyAlignment="1">
      <alignment vertical="top"/>
    </xf>
    <xf numFmtId="2" fontId="7" fillId="2" borderId="0" xfId="0" applyNumberFormat="1" applyFont="1" applyFill="1" applyBorder="1" applyAlignment="1">
      <alignment horizontal="left" vertical="top"/>
    </xf>
    <xf numFmtId="0" fontId="13" fillId="3" borderId="0" xfId="0" applyFont="1" applyFill="1" applyBorder="1" applyAlignment="1">
      <alignment horizontal="left" vertical="top" wrapText="1"/>
    </xf>
    <xf numFmtId="0" fontId="17" fillId="4" borderId="0" xfId="0" applyFont="1" applyFill="1" applyBorder="1" applyAlignment="1">
      <alignment vertical="center"/>
    </xf>
    <xf numFmtId="0" fontId="13" fillId="5" borderId="0" xfId="0" applyFont="1" applyFill="1" applyBorder="1" applyAlignment="1">
      <alignment vertical="center"/>
    </xf>
    <xf numFmtId="0" fontId="13" fillId="5" borderId="0" xfId="0" applyFont="1" applyFill="1" applyBorder="1" applyAlignment="1">
      <alignment vertical="top"/>
    </xf>
    <xf numFmtId="0" fontId="13" fillId="3" borderId="0" xfId="0" applyFont="1" applyFill="1" applyBorder="1" applyAlignment="1">
      <alignment horizontal="left" vertical="top" wrapText="1"/>
    </xf>
    <xf numFmtId="0" fontId="22" fillId="3" borderId="0" xfId="0" applyFont="1" applyFill="1" applyBorder="1" applyAlignment="1">
      <alignment vertical="top"/>
    </xf>
    <xf numFmtId="0" fontId="13" fillId="3" borderId="0" xfId="0" applyFont="1" applyFill="1" applyBorder="1" applyAlignment="1">
      <alignment vertical="top" wrapText="1"/>
    </xf>
    <xf numFmtId="0" fontId="17" fillId="3" borderId="0" xfId="0" applyFont="1" applyFill="1" applyBorder="1" applyAlignment="1">
      <alignment vertical="top" wrapText="1"/>
    </xf>
    <xf numFmtId="0" fontId="12" fillId="5" borderId="0" xfId="0" applyFont="1" applyFill="1" applyBorder="1" applyAlignment="1"/>
    <xf numFmtId="0" fontId="13" fillId="3" borderId="0" xfId="0" applyFont="1" applyFill="1" applyBorder="1" applyAlignment="1">
      <alignment vertical="center" wrapText="1"/>
    </xf>
    <xf numFmtId="0" fontId="23" fillId="3" borderId="6" xfId="0" applyFont="1" applyFill="1" applyBorder="1" applyAlignment="1">
      <alignment vertical="top"/>
    </xf>
    <xf numFmtId="0" fontId="8" fillId="2" borderId="0" xfId="0" applyFont="1" applyFill="1" applyBorder="1" applyAlignment="1">
      <alignment horizontal="center" vertical="top" wrapText="1"/>
    </xf>
    <xf numFmtId="0" fontId="11" fillId="6" borderId="1" xfId="0" applyFont="1" applyFill="1" applyBorder="1" applyAlignment="1">
      <alignment horizontal="left" vertical="top"/>
    </xf>
    <xf numFmtId="3" fontId="13" fillId="2" borderId="0" xfId="0" applyNumberFormat="1" applyFont="1" applyFill="1" applyBorder="1" applyAlignment="1">
      <alignment horizontal="center" vertical="center"/>
    </xf>
    <xf numFmtId="0" fontId="13" fillId="7" borderId="0" xfId="0" applyFont="1" applyFill="1" applyBorder="1" applyAlignment="1">
      <alignment vertical="center"/>
    </xf>
    <xf numFmtId="0" fontId="13" fillId="2" borderId="0" xfId="0" applyFont="1" applyFill="1" applyBorder="1" applyAlignment="1">
      <alignment vertical="center"/>
    </xf>
    <xf numFmtId="0" fontId="18" fillId="2" borderId="0" xfId="0" applyFont="1" applyFill="1" applyBorder="1" applyAlignment="1">
      <alignment vertical="center"/>
    </xf>
    <xf numFmtId="0" fontId="9" fillId="2" borderId="0" xfId="0" applyFont="1" applyFill="1" applyBorder="1" applyAlignment="1">
      <alignment horizontal="center" vertical="center" textRotation="90"/>
    </xf>
    <xf numFmtId="0" fontId="13" fillId="2"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vertical="top" wrapText="1"/>
    </xf>
    <xf numFmtId="0" fontId="14" fillId="3" borderId="0" xfId="0" applyFont="1" applyFill="1" applyBorder="1" applyAlignment="1">
      <alignment horizontal="left" vertical="top" wrapText="1"/>
    </xf>
    <xf numFmtId="0" fontId="6" fillId="2" borderId="0" xfId="0" applyFont="1" applyFill="1"/>
    <xf numFmtId="0" fontId="6" fillId="2" borderId="0" xfId="0" applyFont="1" applyFill="1" applyBorder="1"/>
    <xf numFmtId="0" fontId="19" fillId="2" borderId="0" xfId="0" applyFont="1" applyFill="1"/>
    <xf numFmtId="0" fontId="24" fillId="2" borderId="0" xfId="0" applyFont="1" applyFill="1" applyBorder="1" applyAlignment="1">
      <alignment horizontal="left" vertical="top"/>
    </xf>
    <xf numFmtId="0" fontId="6" fillId="2" borderId="0" xfId="0" applyFont="1" applyFill="1" applyBorder="1" applyAlignment="1">
      <alignment horizontal="center" vertical="top" wrapText="1"/>
    </xf>
    <xf numFmtId="0" fontId="24"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vertical="top" wrapText="1"/>
    </xf>
    <xf numFmtId="0" fontId="14" fillId="3" borderId="0" xfId="0" applyFont="1" applyFill="1" applyBorder="1" applyAlignment="1">
      <alignment vertical="top"/>
    </xf>
    <xf numFmtId="0" fontId="14" fillId="3" borderId="0" xfId="0" applyFont="1" applyFill="1" applyBorder="1" applyAlignment="1">
      <alignment horizontal="center"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vertical="top" wrapText="1"/>
    </xf>
    <xf numFmtId="2" fontId="13" fillId="9" borderId="0" xfId="0" applyNumberFormat="1" applyFont="1" applyFill="1" applyBorder="1" applyAlignment="1">
      <alignment horizontal="left" vertical="top"/>
    </xf>
    <xf numFmtId="2" fontId="25" fillId="9" borderId="0" xfId="0" applyNumberFormat="1" applyFont="1" applyFill="1" applyBorder="1" applyAlignment="1">
      <alignment horizontal="left" vertical="top"/>
    </xf>
    <xf numFmtId="0" fontId="11" fillId="4" borderId="0" xfId="0" applyFont="1" applyFill="1" applyBorder="1"/>
    <xf numFmtId="0" fontId="13" fillId="3" borderId="0" xfId="0" applyFont="1" applyFill="1" applyBorder="1" applyAlignment="1">
      <alignment vertical="top" wrapText="1"/>
    </xf>
    <xf numFmtId="0" fontId="13" fillId="10" borderId="0" xfId="0" applyFont="1" applyFill="1" applyBorder="1" applyAlignment="1">
      <alignment vertical="top" wrapText="1"/>
    </xf>
    <xf numFmtId="0" fontId="13" fillId="9" borderId="0" xfId="0" applyFont="1" applyFill="1" applyBorder="1" applyAlignment="1">
      <alignment vertical="top"/>
    </xf>
    <xf numFmtId="0" fontId="12" fillId="5" borderId="0" xfId="0" applyFont="1" applyFill="1" applyBorder="1" applyAlignment="1">
      <alignment vertical="top"/>
    </xf>
    <xf numFmtId="0" fontId="16" fillId="5" borderId="0" xfId="0" applyFont="1" applyFill="1" applyBorder="1" applyAlignment="1">
      <alignment horizontal="left" vertical="top"/>
    </xf>
    <xf numFmtId="0" fontId="13" fillId="5" borderId="0" xfId="0" applyFont="1" applyFill="1" applyBorder="1" applyAlignment="1">
      <alignment vertical="top" wrapText="1"/>
    </xf>
    <xf numFmtId="0" fontId="13" fillId="5" borderId="0" xfId="0" applyFont="1" applyFill="1" applyBorder="1" applyAlignment="1"/>
    <xf numFmtId="0" fontId="16" fillId="5" borderId="0" xfId="0" applyFont="1" applyFill="1" applyBorder="1" applyAlignment="1">
      <alignment horizontal="left" vertical="top" wrapText="1"/>
    </xf>
    <xf numFmtId="0" fontId="16" fillId="5" borderId="0" xfId="0" applyFont="1" applyFill="1" applyBorder="1" applyAlignment="1">
      <alignment horizontal="left"/>
    </xf>
    <xf numFmtId="0" fontId="13" fillId="3" borderId="0" xfId="0" applyFont="1" applyFill="1" applyBorder="1" applyAlignment="1">
      <alignment vertical="top" wrapText="1"/>
    </xf>
    <xf numFmtId="0" fontId="13" fillId="3" borderId="0" xfId="0" quotePrefix="1" applyFont="1" applyFill="1" applyBorder="1" applyAlignment="1">
      <alignment vertical="top" wrapText="1"/>
    </xf>
    <xf numFmtId="0" fontId="25" fillId="3" borderId="0" xfId="0" applyFont="1" applyFill="1" applyBorder="1" applyAlignment="1">
      <alignment vertical="top"/>
    </xf>
    <xf numFmtId="0" fontId="21" fillId="10" borderId="0" xfId="0" applyFont="1" applyFill="1" applyBorder="1" applyAlignment="1">
      <alignment vertical="center"/>
    </xf>
    <xf numFmtId="0" fontId="24" fillId="13" borderId="1" xfId="0" applyFont="1" applyFill="1" applyBorder="1" applyAlignment="1" applyProtection="1">
      <alignment horizontal="left" vertical="top" wrapText="1"/>
      <protection locked="0"/>
    </xf>
    <xf numFmtId="3" fontId="13" fillId="6" borderId="1" xfId="0" applyNumberFormat="1" applyFont="1" applyFill="1" applyBorder="1" applyAlignment="1" applyProtection="1">
      <alignment horizontal="center" vertical="center"/>
      <protection locked="0"/>
    </xf>
    <xf numFmtId="3" fontId="13" fillId="4" borderId="0" xfId="0" applyNumberFormat="1" applyFont="1" applyFill="1" applyBorder="1" applyAlignment="1" applyProtection="1">
      <alignment horizontal="center" vertical="center"/>
      <protection locked="0"/>
    </xf>
    <xf numFmtId="3" fontId="13" fillId="2" borderId="0" xfId="0" applyNumberFormat="1" applyFont="1" applyFill="1" applyBorder="1" applyAlignment="1" applyProtection="1">
      <alignment horizontal="center" vertical="center"/>
      <protection locked="0"/>
    </xf>
    <xf numFmtId="0" fontId="24" fillId="13" borderId="1" xfId="0" applyFont="1" applyFill="1" applyBorder="1" applyAlignment="1" applyProtection="1">
      <alignment horizontal="left" vertical="top"/>
      <protection locked="0"/>
    </xf>
    <xf numFmtId="0" fontId="6" fillId="12" borderId="1" xfId="0" applyFont="1" applyFill="1" applyBorder="1" applyAlignment="1" applyProtection="1">
      <alignment horizontal="center" vertical="top" wrapText="1"/>
      <protection locked="0"/>
    </xf>
    <xf numFmtId="3" fontId="24" fillId="13" borderId="1" xfId="0" applyNumberFormat="1" applyFont="1" applyFill="1" applyBorder="1" applyAlignment="1" applyProtection="1">
      <alignment horizontal="left" vertical="top" wrapText="1"/>
      <protection locked="0"/>
    </xf>
    <xf numFmtId="0" fontId="13" fillId="11" borderId="0" xfId="0" applyFont="1" applyFill="1" applyBorder="1" applyAlignment="1">
      <alignment vertical="top"/>
    </xf>
    <xf numFmtId="0" fontId="13" fillId="14" borderId="0" xfId="0" applyFont="1" applyFill="1" applyBorder="1" applyAlignment="1">
      <alignment vertical="top"/>
    </xf>
    <xf numFmtId="0" fontId="18" fillId="15" borderId="0" xfId="0" applyFont="1" applyFill="1" applyBorder="1" applyAlignment="1">
      <alignment horizontal="center" vertical="center"/>
    </xf>
    <xf numFmtId="0" fontId="18" fillId="15" borderId="0" xfId="0" applyFont="1" applyFill="1" applyBorder="1" applyAlignment="1">
      <alignment horizontal="center" vertical="center" wrapText="1"/>
    </xf>
    <xf numFmtId="0" fontId="18" fillId="5" borderId="0" xfId="0" applyFont="1" applyFill="1" applyBorder="1" applyAlignment="1">
      <alignment vertical="center"/>
    </xf>
    <xf numFmtId="0" fontId="21" fillId="5" borderId="0" xfId="0" applyFont="1" applyFill="1" applyBorder="1" applyAlignment="1">
      <alignment vertical="center"/>
    </xf>
    <xf numFmtId="0" fontId="18" fillId="15" borderId="0" xfId="0" applyFont="1" applyFill="1" applyBorder="1" applyAlignment="1">
      <alignment horizontal="left" vertical="center"/>
    </xf>
    <xf numFmtId="0" fontId="18" fillId="15" borderId="0" xfId="0" applyFont="1" applyFill="1" applyBorder="1" applyAlignment="1">
      <alignment vertical="top"/>
    </xf>
    <xf numFmtId="0" fontId="18" fillId="15" borderId="0" xfId="0" applyFont="1" applyFill="1" applyBorder="1" applyAlignment="1">
      <alignment horizontal="center" vertical="top"/>
    </xf>
    <xf numFmtId="0" fontId="8" fillId="12" borderId="0" xfId="0" applyFont="1" applyFill="1" applyAlignment="1">
      <alignment horizontal="left" vertical="top"/>
    </xf>
    <xf numFmtId="0" fontId="28" fillId="1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vertical="top" wrapText="1"/>
    </xf>
    <xf numFmtId="0" fontId="5" fillId="2" borderId="0" xfId="0" applyFont="1" applyFill="1" applyAlignment="1">
      <alignment vertical="top" wrapText="1"/>
    </xf>
    <xf numFmtId="0" fontId="13" fillId="2" borderId="0" xfId="0" applyFont="1" applyFill="1" applyBorder="1" applyAlignment="1">
      <alignment vertical="top" wrapText="1"/>
    </xf>
    <xf numFmtId="0" fontId="4" fillId="2" borderId="0" xfId="0" applyFont="1" applyFill="1" applyAlignment="1">
      <alignment vertical="top"/>
    </xf>
    <xf numFmtId="0" fontId="9" fillId="7" borderId="0" xfId="0" applyFont="1" applyFill="1" applyBorder="1" applyAlignment="1">
      <alignment horizontal="left" vertical="top"/>
    </xf>
    <xf numFmtId="0" fontId="13" fillId="3" borderId="0" xfId="0" applyFont="1" applyFill="1" applyBorder="1" applyAlignment="1">
      <alignment vertical="top" wrapText="1"/>
    </xf>
    <xf numFmtId="2" fontId="3" fillId="17" borderId="0" xfId="0" applyNumberFormat="1" applyFont="1" applyFill="1" applyBorder="1" applyAlignment="1">
      <alignment horizontal="left" vertical="top"/>
    </xf>
    <xf numFmtId="0" fontId="3" fillId="2" borderId="0" xfId="0" applyFont="1" applyFill="1" applyAlignment="1">
      <alignment vertical="top"/>
    </xf>
    <xf numFmtId="0" fontId="3" fillId="2" borderId="0" xfId="0" applyFont="1" applyFill="1" applyAlignment="1">
      <alignment vertical="top" wrapText="1"/>
    </xf>
    <xf numFmtId="0" fontId="20" fillId="2" borderId="0" xfId="2" applyFont="1" applyFill="1" applyAlignment="1">
      <alignment vertical="top"/>
    </xf>
    <xf numFmtId="0" fontId="16" fillId="4" borderId="0" xfId="0" applyFont="1" applyFill="1" applyBorder="1" applyAlignment="1">
      <alignment horizontal="left"/>
    </xf>
    <xf numFmtId="0" fontId="13" fillId="4" borderId="0" xfId="0" applyFont="1" applyFill="1" applyBorder="1" applyAlignment="1"/>
    <xf numFmtId="0" fontId="23" fillId="3" borderId="0" xfId="0" applyFont="1" applyFill="1" applyBorder="1" applyAlignment="1">
      <alignment vertical="top"/>
    </xf>
    <xf numFmtId="0" fontId="18" fillId="15" borderId="0" xfId="0" applyFont="1" applyFill="1" applyBorder="1" applyAlignment="1">
      <alignment horizontal="center" vertical="center" wrapText="1"/>
    </xf>
    <xf numFmtId="0" fontId="18" fillId="15" borderId="0" xfId="0" applyFont="1" applyFill="1" applyBorder="1" applyAlignment="1">
      <alignment horizontal="center" vertical="center"/>
    </xf>
    <xf numFmtId="0" fontId="13" fillId="3" borderId="0" xfId="0" applyFont="1" applyFill="1" applyBorder="1" applyAlignment="1">
      <alignment vertical="top"/>
    </xf>
    <xf numFmtId="0" fontId="13" fillId="3" borderId="0" xfId="0" applyFont="1" applyFill="1" applyBorder="1" applyAlignment="1">
      <alignment vertical="top" wrapText="1"/>
    </xf>
    <xf numFmtId="0" fontId="13" fillId="3" borderId="0" xfId="0" applyFont="1" applyFill="1" applyBorder="1" applyAlignment="1"/>
    <xf numFmtId="0" fontId="3" fillId="2" borderId="0" xfId="0" applyFont="1" applyFill="1" applyAlignment="1">
      <alignment vertical="top" wrapText="1"/>
    </xf>
    <xf numFmtId="0" fontId="14" fillId="3" borderId="0" xfId="0" applyFont="1" applyFill="1" applyBorder="1" applyAlignment="1">
      <alignment vertical="top" wrapText="1"/>
    </xf>
    <xf numFmtId="0" fontId="25" fillId="3" borderId="0" xfId="0" applyFont="1" applyFill="1" applyBorder="1" applyAlignment="1">
      <alignment vertical="top" wrapText="1"/>
    </xf>
    <xf numFmtId="0" fontId="8" fillId="2" borderId="0" xfId="0" applyFont="1" applyFill="1" applyAlignment="1">
      <alignment vertical="top" wrapText="1"/>
    </xf>
    <xf numFmtId="0" fontId="13" fillId="3" borderId="0" xfId="0" applyFont="1" applyFill="1" applyBorder="1" applyAlignment="1">
      <alignment vertical="top"/>
    </xf>
    <xf numFmtId="0" fontId="13" fillId="3" borderId="0" xfId="0" applyFont="1" applyFill="1" applyBorder="1" applyAlignment="1">
      <alignment vertical="top" wrapText="1"/>
    </xf>
    <xf numFmtId="0" fontId="13" fillId="3" borderId="0" xfId="0" applyFont="1" applyFill="1" applyBorder="1" applyAlignment="1"/>
    <xf numFmtId="0" fontId="3" fillId="2" borderId="0" xfId="0" applyFont="1" applyFill="1" applyAlignment="1">
      <alignment vertical="top" wrapText="1"/>
    </xf>
    <xf numFmtId="0" fontId="3" fillId="2" borderId="0" xfId="2" applyFont="1" applyFill="1" applyAlignment="1">
      <alignment vertical="top" wrapText="1"/>
    </xf>
    <xf numFmtId="0" fontId="13" fillId="3" borderId="0" xfId="0" applyFont="1" applyFill="1" applyBorder="1" applyAlignment="1">
      <alignment wrapText="1"/>
    </xf>
    <xf numFmtId="0" fontId="25" fillId="3" borderId="0" xfId="0" applyFont="1" applyFill="1" applyBorder="1" applyAlignment="1">
      <alignment wrapText="1"/>
    </xf>
    <xf numFmtId="0" fontId="25" fillId="3" borderId="0" xfId="0" applyFont="1" applyFill="1" applyBorder="1" applyAlignment="1">
      <alignment vertical="top" wrapText="1"/>
    </xf>
    <xf numFmtId="0" fontId="8" fillId="2" borderId="0" xfId="0" applyFont="1" applyFill="1" applyAlignment="1">
      <alignment vertical="top" wrapText="1"/>
    </xf>
    <xf numFmtId="0" fontId="13" fillId="3" borderId="0" xfId="0" applyFont="1" applyFill="1" applyBorder="1" applyAlignment="1">
      <alignment vertical="top"/>
    </xf>
    <xf numFmtId="0" fontId="13" fillId="3" borderId="0" xfId="0" applyFont="1" applyFill="1" applyBorder="1" applyAlignment="1">
      <alignment vertical="top" wrapText="1"/>
    </xf>
    <xf numFmtId="0" fontId="13" fillId="3" borderId="0" xfId="0" applyFont="1" applyFill="1" applyBorder="1" applyAlignment="1"/>
    <xf numFmtId="0" fontId="13" fillId="3" borderId="0" xfId="0" applyFont="1" applyFill="1" applyBorder="1" applyAlignment="1">
      <alignment horizontal="left" vertical="top" wrapText="1"/>
    </xf>
    <xf numFmtId="0" fontId="13" fillId="3" borderId="0" xfId="0" quotePrefix="1" applyFont="1" applyFill="1" applyBorder="1" applyAlignment="1">
      <alignment vertical="top" wrapText="1"/>
    </xf>
    <xf numFmtId="0" fontId="13" fillId="3" borderId="0" xfId="0" applyNumberFormat="1" applyFont="1" applyFill="1" applyBorder="1" applyAlignment="1">
      <alignment vertical="top" wrapText="1"/>
    </xf>
    <xf numFmtId="0" fontId="13" fillId="3" borderId="0" xfId="0" applyFont="1" applyFill="1" applyBorder="1" applyAlignment="1">
      <alignment wrapText="1"/>
    </xf>
    <xf numFmtId="0" fontId="13" fillId="3" borderId="0" xfId="0" applyNumberFormat="1" applyFont="1" applyFill="1" applyBorder="1" applyAlignment="1">
      <alignment wrapText="1"/>
    </xf>
    <xf numFmtId="0" fontId="13" fillId="3" borderId="0" xfId="0" applyFont="1" applyFill="1" applyBorder="1" applyAlignment="1">
      <alignment vertical="top" wrapText="1"/>
    </xf>
    <xf numFmtId="0" fontId="13" fillId="3" borderId="0" xfId="0" applyFont="1" applyFill="1" applyBorder="1" applyAlignment="1"/>
    <xf numFmtId="0" fontId="13" fillId="3" borderId="0" xfId="0" applyFont="1" applyFill="1" applyBorder="1" applyAlignment="1">
      <alignment wrapText="1"/>
    </xf>
    <xf numFmtId="0" fontId="13" fillId="3" borderId="0" xfId="0" applyFont="1" applyFill="1" applyBorder="1" applyAlignment="1">
      <alignment vertical="top"/>
    </xf>
    <xf numFmtId="0" fontId="13" fillId="3" borderId="0" xfId="0" applyFont="1" applyFill="1" applyBorder="1" applyAlignment="1">
      <alignment vertical="top" wrapText="1"/>
    </xf>
    <xf numFmtId="0" fontId="13" fillId="4" borderId="0"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0" fillId="2" borderId="0" xfId="0" applyFont="1" applyFill="1" applyAlignment="1">
      <alignment vertical="top" wrapText="1"/>
    </xf>
    <xf numFmtId="0" fontId="3" fillId="0" borderId="0" xfId="0" applyFont="1" applyAlignment="1">
      <alignment vertical="center"/>
    </xf>
    <xf numFmtId="0" fontId="20" fillId="2" borderId="0" xfId="2" applyFont="1" applyFill="1" applyAlignment="1">
      <alignment vertical="top" wrapText="1"/>
    </xf>
    <xf numFmtId="0" fontId="9" fillId="8" borderId="0" xfId="0" applyFont="1" applyFill="1" applyBorder="1" applyAlignment="1">
      <alignment horizontal="center"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Alignment="1">
      <alignment vertical="top" wrapText="1"/>
    </xf>
    <xf numFmtId="14" fontId="1" fillId="2" borderId="0" xfId="0" applyNumberFormat="1" applyFont="1" applyFill="1" applyAlignment="1">
      <alignment horizontal="left" vertical="top"/>
    </xf>
    <xf numFmtId="0" fontId="1" fillId="2" borderId="0" xfId="0" applyNumberFormat="1" applyFont="1" applyFill="1" applyBorder="1" applyAlignment="1">
      <alignmen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3" fillId="3" borderId="0" xfId="0" applyFont="1" applyFill="1" applyBorder="1" applyAlignment="1">
      <alignment horizontal="left" vertical="top" wrapText="1"/>
    </xf>
    <xf numFmtId="0" fontId="3" fillId="2" borderId="0" xfId="2" applyFont="1" applyFill="1" applyAlignment="1">
      <alignment horizontal="left" vertical="top" wrapText="1"/>
    </xf>
    <xf numFmtId="0" fontId="13" fillId="6" borderId="4" xfId="0" applyFont="1" applyFill="1" applyBorder="1" applyAlignment="1" applyProtection="1">
      <alignment horizontal="left" vertical="top"/>
      <protection locked="0"/>
    </xf>
    <xf numFmtId="0" fontId="13" fillId="6" borderId="3" xfId="0" applyFont="1" applyFill="1" applyBorder="1" applyAlignment="1" applyProtection="1">
      <alignment horizontal="left" vertical="top"/>
      <protection locked="0"/>
    </xf>
    <xf numFmtId="0" fontId="18" fillId="15" borderId="0" xfId="0" applyFont="1" applyFill="1" applyBorder="1" applyAlignment="1">
      <alignment horizontal="center" vertical="center"/>
    </xf>
    <xf numFmtId="0" fontId="19" fillId="2" borderId="0" xfId="0" applyFont="1" applyFill="1" applyBorder="1" applyAlignment="1">
      <alignment horizontal="center" vertical="top" wrapText="1"/>
    </xf>
    <xf numFmtId="0" fontId="14" fillId="4" borderId="0" xfId="0" applyFont="1" applyFill="1" applyBorder="1" applyAlignment="1">
      <alignment horizontal="center" vertical="center"/>
    </xf>
    <xf numFmtId="3" fontId="13" fillId="6" borderId="4" xfId="0" applyNumberFormat="1" applyFont="1" applyFill="1" applyBorder="1" applyAlignment="1" applyProtection="1">
      <alignment horizontal="left" vertical="center"/>
      <protection locked="0"/>
    </xf>
    <xf numFmtId="3" fontId="13" fillId="6" borderId="2" xfId="0" applyNumberFormat="1" applyFont="1" applyFill="1" applyBorder="1" applyAlignment="1" applyProtection="1">
      <alignment horizontal="left" vertical="center"/>
      <protection locked="0"/>
    </xf>
    <xf numFmtId="3" fontId="13" fillId="6" borderId="3" xfId="0" applyNumberFormat="1" applyFont="1" applyFill="1" applyBorder="1" applyAlignment="1" applyProtection="1">
      <alignment horizontal="left" vertical="center"/>
      <protection locked="0"/>
    </xf>
    <xf numFmtId="0" fontId="13" fillId="4" borderId="0"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3" borderId="0" xfId="0" applyFont="1" applyFill="1" applyBorder="1" applyAlignment="1">
      <alignment vertical="top" wrapText="1"/>
    </xf>
    <xf numFmtId="0" fontId="18" fillId="15" borderId="0" xfId="0" applyFont="1" applyFill="1" applyBorder="1" applyAlignment="1">
      <alignment horizontal="center" vertical="center" wrapText="1"/>
    </xf>
    <xf numFmtId="0" fontId="18" fillId="15" borderId="0" xfId="0" applyFont="1" applyFill="1" applyBorder="1" applyAlignment="1">
      <alignment horizontal="left" vertical="center"/>
    </xf>
    <xf numFmtId="0" fontId="25" fillId="3" borderId="0" xfId="0" applyFont="1" applyFill="1" applyBorder="1" applyAlignment="1">
      <alignment horizontal="left" vertical="top" wrapText="1"/>
    </xf>
    <xf numFmtId="0" fontId="17" fillId="3" borderId="0" xfId="0" applyFont="1" applyFill="1" applyBorder="1" applyAlignment="1">
      <alignment horizontal="left" vertical="top"/>
    </xf>
    <xf numFmtId="0" fontId="28" fillId="13" borderId="0" xfId="0" applyFont="1" applyFill="1" applyBorder="1" applyAlignment="1">
      <alignment horizontal="left" vertical="top" wrapText="1"/>
    </xf>
    <xf numFmtId="0" fontId="9" fillId="16" borderId="0" xfId="0" applyFont="1" applyFill="1" applyBorder="1" applyAlignment="1">
      <alignment horizontal="center" vertical="center" textRotation="90"/>
    </xf>
    <xf numFmtId="0" fontId="25" fillId="2"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27" fillId="4" borderId="0" xfId="0" applyFont="1" applyFill="1" applyBorder="1" applyAlignment="1">
      <alignment horizontal="left" vertical="top" wrapText="1"/>
    </xf>
    <xf numFmtId="0" fontId="13" fillId="3" borderId="0" xfId="0" applyFont="1" applyFill="1" applyBorder="1" applyAlignment="1">
      <alignment horizontal="left" wrapText="1"/>
    </xf>
  </cellXfs>
  <cellStyles count="4">
    <cellStyle name="Standard" xfId="0" builtinId="0"/>
    <cellStyle name="Standard 2" xfId="2"/>
    <cellStyle name="Standard 3" xfId="3"/>
    <cellStyle name="Standard 9" xfId="1"/>
  </cellStyles>
  <dxfs count="545">
    <dxf>
      <fill>
        <patternFill>
          <bgColor rgb="FFF2F2F2"/>
        </patternFill>
      </fill>
    </dxf>
    <dxf>
      <font>
        <color auto="1"/>
      </font>
      <fill>
        <patternFill>
          <bgColor theme="9"/>
        </patternFill>
      </fill>
    </dxf>
    <dxf>
      <fill>
        <patternFill>
          <bgColor rgb="FFFF7D7D"/>
        </patternFill>
      </fill>
    </dxf>
    <dxf>
      <fill>
        <patternFill>
          <bgColor theme="7" tint="0.59996337778862885"/>
        </patternFill>
      </fill>
    </dxf>
    <dxf>
      <font>
        <color auto="1"/>
      </font>
      <fill>
        <patternFill>
          <bgColor theme="9"/>
        </patternFill>
      </fill>
    </dxf>
    <dxf>
      <fill>
        <patternFill>
          <bgColor rgb="FFFF7D7D"/>
        </patternFill>
      </fill>
    </dxf>
    <dxf>
      <fill>
        <patternFill>
          <bgColor theme="7" tint="0.59996337778862885"/>
        </patternFill>
      </fill>
    </dxf>
    <dxf>
      <font>
        <color auto="1"/>
      </font>
      <fill>
        <patternFill>
          <bgColor theme="9"/>
        </patternFill>
      </fill>
    </dxf>
    <dxf>
      <fill>
        <patternFill>
          <bgColor rgb="FFFF7D7D"/>
        </patternFill>
      </fill>
    </dxf>
    <dxf>
      <fill>
        <patternFill>
          <bgColor theme="7" tint="0.59996337778862885"/>
        </patternFill>
      </fill>
    </dxf>
    <dxf>
      <font>
        <color auto="1"/>
      </font>
      <fill>
        <patternFill>
          <bgColor theme="9"/>
        </patternFill>
      </fill>
    </dxf>
    <dxf>
      <fill>
        <patternFill>
          <bgColor rgb="FFFF7D7D"/>
        </patternFill>
      </fill>
    </dxf>
    <dxf>
      <font>
        <color auto="1"/>
      </font>
      <fill>
        <patternFill>
          <bgColor theme="9"/>
        </patternFill>
      </fill>
    </dxf>
    <dxf>
      <fill>
        <patternFill>
          <bgColor rgb="FFFF7D7D"/>
        </patternFill>
      </fill>
    </dxf>
    <dxf>
      <font>
        <color auto="1"/>
      </font>
      <fill>
        <patternFill>
          <bgColor theme="9"/>
        </patternFill>
      </fill>
    </dxf>
    <dxf>
      <fill>
        <patternFill>
          <bgColor rgb="FFFF7D7D"/>
        </patternFill>
      </fill>
    </dxf>
    <dxf>
      <font>
        <color auto="1"/>
      </font>
      <fill>
        <patternFill>
          <bgColor theme="9"/>
        </patternFill>
      </fill>
    </dxf>
    <dxf>
      <fill>
        <patternFill>
          <bgColor rgb="FFFF7D7D"/>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auto="1"/>
      </font>
      <fill>
        <patternFill>
          <bgColor theme="9"/>
        </patternFill>
      </fill>
    </dxf>
    <dxf>
      <fill>
        <patternFill>
          <bgColor rgb="FFFF7D7D"/>
        </patternFill>
      </fill>
    </dxf>
    <dxf>
      <fill>
        <patternFill>
          <bgColor theme="7" tint="0.59996337778862885"/>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rgb="FFFF7D7D"/>
        </patternFill>
      </fill>
    </dxf>
    <dxf>
      <fill>
        <patternFill>
          <bgColor theme="7" tint="0.59996337778862885"/>
        </patternFill>
      </fill>
    </dxf>
    <dxf>
      <fill>
        <patternFill>
          <bgColor theme="9"/>
        </patternFill>
      </fill>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fgColor auto="1"/>
          <bgColor rgb="FFFF7D7D"/>
        </patternFill>
      </fill>
    </dxf>
    <dxf>
      <fill>
        <patternFill>
          <bgColor theme="7" tint="0.59996337778862885"/>
        </patternFill>
      </fill>
    </dxf>
    <dxf>
      <fill>
        <patternFill>
          <bgColor theme="9"/>
        </patternFill>
      </fill>
    </dxf>
    <dxf>
      <fill>
        <patternFill>
          <bgColor theme="8" tint="0.39994506668294322"/>
        </patternFill>
      </fill>
      <border>
        <left style="thin">
          <color auto="1"/>
        </left>
        <right style="thin">
          <color auto="1"/>
        </right>
        <top style="thin">
          <color auto="1"/>
        </top>
        <bottom style="thin">
          <color auto="1"/>
        </bottom>
        <vertical/>
        <horizontal/>
      </border>
    </dxf>
    <dxf>
      <fill>
        <patternFill>
          <fgColor auto="1"/>
          <bgColor theme="8" tint="0.79998168889431442"/>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border>
    </dxf>
    <dxf>
      <fill>
        <patternFill>
          <bgColor rgb="FFF2F2F2"/>
        </patternFill>
      </fill>
    </dxf>
    <dxf>
      <fill>
        <patternFill>
          <bgColor rgb="FFF2F2F2"/>
        </patternFill>
      </fill>
    </dxf>
    <dxf>
      <fill>
        <patternFill>
          <bgColor rgb="FFF2F2F2"/>
        </patternFill>
      </fill>
    </dxf>
    <dxf>
      <font>
        <color theme="1"/>
      </font>
      <fill>
        <patternFill>
          <bgColor rgb="FFFF0000"/>
        </patternFill>
      </fill>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1"/>
      </font>
      <fill>
        <patternFill>
          <bgColor rgb="FFFF0000"/>
        </patternFill>
      </fill>
    </dxf>
    <dxf>
      <font>
        <color theme="0"/>
      </font>
      <fill>
        <patternFill patternType="solid">
          <fgColor theme="2" tint="-9.9917600024414813E-2"/>
          <bgColor theme="0"/>
        </patternFill>
      </fill>
    </dxf>
    <dxf>
      <font>
        <color theme="1"/>
      </font>
      <fill>
        <patternFill>
          <bgColor rgb="FFFF0000"/>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theme="4" tint="0.79998168889431442"/>
        </patternFill>
      </fill>
      <border>
        <left style="thin">
          <color auto="1"/>
        </left>
        <right style="thin">
          <color auto="1"/>
        </right>
        <top style="thin">
          <color auto="1"/>
        </top>
        <bottom style="thin">
          <color auto="1"/>
        </bottom>
      </border>
    </dxf>
    <dxf>
      <font>
        <color theme="0"/>
      </font>
      <fill>
        <patternFill>
          <bgColor theme="0"/>
        </patternFill>
      </fill>
    </dxf>
    <dxf>
      <font>
        <color theme="0"/>
      </font>
      <fill>
        <patternFill patternType="solid">
          <fgColor theme="2" tint="-9.9917600024414813E-2"/>
          <bgColor theme="0"/>
        </patternFill>
      </fill>
    </dxf>
    <dxf>
      <fill>
        <patternFill>
          <bgColor rgb="FFF2F2F2"/>
        </patternFill>
      </fill>
    </dxf>
    <dxf>
      <font>
        <color theme="1"/>
      </font>
      <fill>
        <patternFill>
          <bgColor rgb="FFFF0000"/>
        </patternFill>
      </fill>
    </dxf>
    <dxf>
      <font>
        <color auto="1"/>
      </font>
      <fill>
        <patternFill>
          <bgColor theme="4" tint="0.79998168889431442"/>
        </patternFill>
      </fill>
      <border>
        <left style="thin">
          <color auto="1"/>
        </left>
        <right style="thin">
          <color auto="1"/>
        </right>
        <top style="thin">
          <color auto="1"/>
        </top>
        <bottom style="thin">
          <color auto="1"/>
        </bottom>
      </border>
    </dxf>
    <dxf>
      <fill>
        <patternFill>
          <bgColor rgb="FFF2F2F2"/>
        </patternFill>
      </fill>
    </dxf>
  </dxfs>
  <tableStyles count="0" defaultTableStyle="TableStyleMedium2" defaultPivotStyle="PivotStyleLight16"/>
  <colors>
    <mruColors>
      <color rgb="FFBCE2F8"/>
      <color rgb="FF76E2F8"/>
      <color rgb="FF72BF44"/>
      <color rgb="FFFF0000"/>
      <color rgb="FFFF7D7D"/>
      <color rgb="FFC6E6B3"/>
      <color rgb="FFFAA61A"/>
      <color rgb="FFFF9F9F"/>
      <color rgb="FF266D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xdr:colOff>
      <xdr:row>0</xdr:row>
      <xdr:rowOff>85725</xdr:rowOff>
    </xdr:from>
    <xdr:to>
      <xdr:col>9</xdr:col>
      <xdr:colOff>433388</xdr:colOff>
      <xdr:row>2</xdr:row>
      <xdr:rowOff>142875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3550" y="85725"/>
          <a:ext cx="2024063" cy="485775"/>
        </a:xfrm>
        <a:prstGeom prst="rect">
          <a:avLst/>
        </a:prstGeom>
      </xdr:spPr>
    </xdr:pic>
    <xdr:clientData/>
  </xdr:twoCellAnchor>
  <xdr:twoCellAnchor editAs="oneCell">
    <xdr:from>
      <xdr:col>2</xdr:col>
      <xdr:colOff>0</xdr:colOff>
      <xdr:row>23</xdr:row>
      <xdr:rowOff>0</xdr:rowOff>
    </xdr:from>
    <xdr:to>
      <xdr:col>6</xdr:col>
      <xdr:colOff>200025</xdr:colOff>
      <xdr:row>23</xdr:row>
      <xdr:rowOff>560248</xdr:rowOff>
    </xdr:to>
    <xdr:pic>
      <xdr:nvPicPr>
        <xdr:cNvPr id="5" name="Grafik 4" descr="https://www.mbenefits.eu/static/mbenefits/img/MultipleBenefits_LogoHeader_w491_h80.png"/>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466850" y="7343775"/>
          <a:ext cx="3438525" cy="560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1091453</xdr:colOff>
      <xdr:row>0</xdr:row>
      <xdr:rowOff>85725</xdr:rowOff>
    </xdr:from>
    <xdr:to>
      <xdr:col>10</xdr:col>
      <xdr:colOff>289392</xdr:colOff>
      <xdr:row>2</xdr:row>
      <xdr:rowOff>142875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9394" y="85725"/>
          <a:ext cx="2018460" cy="482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95250</xdr:rowOff>
    </xdr:from>
    <xdr:to>
      <xdr:col>6</xdr:col>
      <xdr:colOff>2016592</xdr:colOff>
      <xdr:row>2</xdr:row>
      <xdr:rowOff>187510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43950" y="95250"/>
          <a:ext cx="2016592" cy="5192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57150</xdr:colOff>
      <xdr:row>0</xdr:row>
      <xdr:rowOff>76200</xdr:rowOff>
    </xdr:from>
    <xdr:to>
      <xdr:col>9</xdr:col>
      <xdr:colOff>461963</xdr:colOff>
      <xdr:row>2</xdr:row>
      <xdr:rowOff>133350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2125" y="76200"/>
          <a:ext cx="2024063"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2196354</xdr:colOff>
      <xdr:row>0</xdr:row>
      <xdr:rowOff>89647</xdr:rowOff>
    </xdr:from>
    <xdr:to>
      <xdr:col>9</xdr:col>
      <xdr:colOff>4220417</xdr:colOff>
      <xdr:row>2</xdr:row>
      <xdr:rowOff>149598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2883" y="89647"/>
          <a:ext cx="2024063" cy="485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3629025</xdr:colOff>
      <xdr:row>0</xdr:row>
      <xdr:rowOff>66675</xdr:rowOff>
    </xdr:from>
    <xdr:to>
      <xdr:col>4</xdr:col>
      <xdr:colOff>1033463</xdr:colOff>
      <xdr:row>2</xdr:row>
      <xdr:rowOff>123825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0" y="66675"/>
          <a:ext cx="2024063" cy="485775"/>
        </a:xfrm>
        <a:prstGeom prst="rect">
          <a:avLst/>
        </a:prstGeom>
      </xdr:spPr>
    </xdr:pic>
    <xdr:clientData/>
  </xdr:twoCellAnchor>
</xdr:wsDr>
</file>

<file path=xl/theme/theme1.xml><?xml version="1.0" encoding="utf-8"?>
<a:theme xmlns:a="http://schemas.openxmlformats.org/drawingml/2006/main" name="Office Theme">
  <a:themeElements>
    <a:clrScheme name="Benutzerdefiniert 13">
      <a:dk1>
        <a:srgbClr val="000000"/>
      </a:dk1>
      <a:lt1>
        <a:srgbClr val="FFFFFF"/>
      </a:lt1>
      <a:dk2>
        <a:srgbClr val="44546A"/>
      </a:dk2>
      <a:lt2>
        <a:srgbClr val="FEFFFF"/>
      </a:lt2>
      <a:accent1>
        <a:srgbClr val="EF4123"/>
      </a:accent1>
      <a:accent2>
        <a:srgbClr val="FAA61A"/>
      </a:accent2>
      <a:accent3>
        <a:srgbClr val="FFDE2F"/>
      </a:accent3>
      <a:accent4>
        <a:srgbClr val="EF4123"/>
      </a:accent4>
      <a:accent5>
        <a:srgbClr val="0F5880"/>
      </a:accent5>
      <a:accent6>
        <a:srgbClr val="98BDD2"/>
      </a:accent6>
      <a:hlink>
        <a:srgbClr val="2478A1"/>
      </a:hlink>
      <a:folHlink>
        <a:srgbClr val="8DC53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6"/>
  <sheetViews>
    <sheetView tabSelected="1" zoomScaleNormal="100" workbookViewId="0">
      <selection activeCell="C8" sqref="C8:D8"/>
    </sheetView>
  </sheetViews>
  <sheetFormatPr baseColWidth="10" defaultColWidth="11" defaultRowHeight="15"/>
  <cols>
    <col min="1" max="1" width="3.625" style="2" customWidth="1"/>
    <col min="2" max="2" width="17.75" style="2" customWidth="1"/>
    <col min="3" max="10" width="10.625" style="2" customWidth="1"/>
    <col min="11" max="16384" width="11" style="2"/>
  </cols>
  <sheetData>
    <row r="2" spans="1:10" ht="18.75">
      <c r="B2" s="66" t="str">
        <f>VLOOKUP("General_Header",Hidden_Translations!$B$11:$J$129,Hidden_Translations!$C$8,FALSE)</f>
        <v>Improving Cold Chain Energy Efficiency (ICCEE project)</v>
      </c>
      <c r="C2" s="28"/>
      <c r="D2" s="28"/>
      <c r="E2" s="28"/>
      <c r="F2" s="28"/>
      <c r="G2" s="28"/>
      <c r="H2" s="28"/>
      <c r="I2" s="28"/>
      <c r="J2" s="28"/>
    </row>
    <row r="4" spans="1:10" ht="18.75">
      <c r="B4" s="35" t="str">
        <f>VLOOKUP("Info_Header",Hidden_Translations!$B$11:$J$129,Hidden_Translations!$C$8,FALSE)</f>
        <v>#5: NEB Evaluator: Info</v>
      </c>
      <c r="C4" s="35"/>
      <c r="D4" s="35"/>
      <c r="E4" s="35"/>
      <c r="F4" s="35"/>
      <c r="G4" s="35"/>
      <c r="H4" s="35"/>
      <c r="I4" s="35"/>
      <c r="J4" s="35"/>
    </row>
    <row r="6" spans="1:10" ht="75" customHeight="1">
      <c r="B6" s="155" t="str">
        <f>VLOOKUP("Info_Header_Text",Hidden_Translations!$B$11:$J$129,Hidden_Translations!$C$8,FALSE)</f>
        <v xml:space="preserve">This tool on non-energy benefits (NEBs) should serve as approach to discover the topic of NEBs in an exemplary manner. Energy efficiency measures (EEMs) can entail, additionally to the evident energy savings, non-energy related benefits, e.g. enhanced competitiveness, reduced maintenance requirements or an improved working environment. NEBs are easily underestimated, or even not considered, in the evaluation process of an energy saving project. </v>
      </c>
      <c r="C6" s="155"/>
      <c r="D6" s="155"/>
      <c r="E6" s="155"/>
      <c r="F6" s="155"/>
      <c r="G6" s="155"/>
      <c r="H6" s="155"/>
      <c r="I6" s="155"/>
      <c r="J6" s="155"/>
    </row>
    <row r="8" spans="1:10">
      <c r="A8" s="21"/>
      <c r="B8" s="21" t="str">
        <f>VLOOKUP("Info_Language_Caption",Hidden_Translations!$B$11:$J$129,Hidden_Translations!$C$8,FALSE)</f>
        <v>Language:</v>
      </c>
      <c r="C8" s="157" t="s">
        <v>80</v>
      </c>
      <c r="D8" s="158"/>
    </row>
    <row r="9" spans="1:10">
      <c r="A9" s="21"/>
      <c r="B9" s="21"/>
    </row>
    <row r="10" spans="1:10" ht="45" customHeight="1">
      <c r="A10" s="21"/>
      <c r="B10" s="21"/>
      <c r="C10" s="155" t="str">
        <f>VLOOKUP("Info_Language_Caption_Note",Hidden_Translations!$B$11:$J$129,Hidden_Translations!$C$8,FALSE)</f>
        <v>Important note: Please chose your language prior to adding any data to the empty tool and  do not change the language therelater. Otherwise, issues may occur due to drop-down fields that do not update automatically update to the new language setting.</v>
      </c>
      <c r="D10" s="155"/>
      <c r="E10" s="155"/>
      <c r="F10" s="155"/>
      <c r="G10" s="155"/>
      <c r="H10" s="155"/>
      <c r="I10" s="155"/>
      <c r="J10" s="155"/>
    </row>
    <row r="11" spans="1:10">
      <c r="A11" s="21"/>
      <c r="B11" s="21"/>
    </row>
    <row r="12" spans="1:10">
      <c r="A12" s="21"/>
      <c r="B12" s="21" t="str">
        <f>VLOOKUP("Info_Version_Caption",Hidden_Translations!$B$11:$J$129,Hidden_Translations!$C$8,FALSE)</f>
        <v xml:space="preserve">Version: </v>
      </c>
      <c r="C12" s="3" t="s">
        <v>1700</v>
      </c>
    </row>
    <row r="13" spans="1:10">
      <c r="A13" s="21"/>
      <c r="B13" s="21"/>
    </row>
    <row r="14" spans="1:10" ht="60" customHeight="1">
      <c r="A14" s="21"/>
      <c r="B14" s="21" t="str">
        <f>VLOOKUP("Info_Aim_Caption",Hidden_Translations!$B$11:$J$129,Hidden_Translations!$C$8,FALSE)</f>
        <v xml:space="preserve">Aim: </v>
      </c>
      <c r="C14" s="155" t="str">
        <f>VLOOKUP("Info_Aim_Text",Hidden_Translations!$B$11:$J$129,Hidden_Translations!$C$8,FALSE)</f>
        <v>The aim of this tool is to introduce possible NEBs of energy efficieny measures, their classification and their strategical assessement in the decision-making process of an EEM. Another focus of the tool is to assess NEBs not only from an individual company perspective but also along the whole cold supply chain.</v>
      </c>
      <c r="D14" s="155"/>
      <c r="E14" s="155"/>
      <c r="F14" s="155"/>
      <c r="G14" s="155"/>
      <c r="H14" s="155"/>
      <c r="I14" s="155"/>
      <c r="J14" s="155"/>
    </row>
    <row r="15" spans="1:10">
      <c r="A15" s="21"/>
      <c r="B15" s="21"/>
    </row>
    <row r="16" spans="1:10">
      <c r="A16" s="21"/>
      <c r="B16" s="21" t="str">
        <f>VLOOKUP("Info_Target_Caption",Hidden_Translations!$B$11:$J$129,Hidden_Translations!$C$8,FALSE)</f>
        <v>Target group:</v>
      </c>
      <c r="C16" s="2" t="str">
        <f>VLOOKUP("Info_Target_Text",Hidden_Translations!$B$11:$J$129,Hidden_Translations!$C$8,FALSE)</f>
        <v>Supply chain managers &amp; environmental managers</v>
      </c>
    </row>
    <row r="17" spans="1:11">
      <c r="A17" s="21"/>
      <c r="B17" s="21"/>
    </row>
    <row r="18" spans="1:11" ht="15.75">
      <c r="A18" s="21"/>
      <c r="B18" s="32" t="str">
        <f>VLOOKUP("Info_Coding_Caption",Hidden_Translations!$B$11:$J$129,Hidden_Translations!$C$8,FALSE)</f>
        <v>Color coding:</v>
      </c>
      <c r="C18" s="37"/>
      <c r="E18" s="2" t="str">
        <f>VLOOKUP("Info_Coding_User",Hidden_Translations!$B$11:$J$129,Hidden_Translations!$C$8,FALSE)</f>
        <v>Field is an input field and requires input the user.</v>
      </c>
    </row>
    <row r="19" spans="1:11">
      <c r="A19" s="21"/>
      <c r="B19" s="21"/>
    </row>
    <row r="20" spans="1:11">
      <c r="A20" s="21"/>
      <c r="B20" s="21"/>
      <c r="C20" s="83"/>
      <c r="E20" s="2" t="str">
        <f>VLOOKUP("Info_Coding_Transfer",Hidden_Translations!$B$11:$J$129,Hidden_Translations!$C$8,FALSE)</f>
        <v>Information transferred from a different part of the workbook.</v>
      </c>
    </row>
    <row r="21" spans="1:11">
      <c r="A21" s="21"/>
      <c r="B21" s="21"/>
      <c r="C21" s="84"/>
      <c r="E21" s="2" t="str">
        <f>VLOOKUP("Info_Coding_Calculated",Hidden_Translations!$B$11:$J$129,Hidden_Translations!$C$8,FALSE)</f>
        <v>Information calculated based on other values.</v>
      </c>
    </row>
    <row r="22" spans="1:11" ht="15" customHeight="1">
      <c r="A22" s="21"/>
      <c r="B22" s="21"/>
      <c r="C22" s="95"/>
      <c r="D22" s="95"/>
      <c r="E22" s="95"/>
      <c r="F22" s="95"/>
      <c r="G22" s="95"/>
      <c r="H22" s="95"/>
      <c r="I22" s="95"/>
      <c r="J22" s="95"/>
    </row>
    <row r="23" spans="1:11" ht="30" customHeight="1">
      <c r="A23" s="21"/>
      <c r="B23" s="21" t="str">
        <f>VLOOKUP("Info_Acknowledgements_Caption",Hidden_Translations!$B$11:$J$129,Hidden_Translations!$C$8,FALSE)</f>
        <v>Acknowledgements:</v>
      </c>
      <c r="C23" s="155" t="str">
        <f>VLOOKUP("Info_Acknowledgements_Text",Hidden_Translations!$B$11:$J$129,Hidden_Translations!$C$8,FALSE)</f>
        <v>The ICCEE project team gratefully acknolwedges the support by its sister project M-Benefits (https://www.mbenefits.eu/) providing the basis for this tool.</v>
      </c>
      <c r="D23" s="155"/>
      <c r="E23" s="155"/>
      <c r="F23" s="155"/>
      <c r="G23" s="155"/>
      <c r="H23" s="155"/>
      <c r="I23" s="155"/>
      <c r="J23" s="155"/>
    </row>
    <row r="24" spans="1:11" ht="60" customHeight="1">
      <c r="A24" s="21"/>
      <c r="B24" s="21"/>
      <c r="C24"/>
      <c r="D24" s="18"/>
      <c r="E24" s="18"/>
      <c r="F24" s="18"/>
      <c r="G24" s="18"/>
      <c r="H24" s="18"/>
      <c r="I24" s="18"/>
      <c r="J24" s="18"/>
    </row>
    <row r="25" spans="1:11" s="23" customFormat="1" ht="30" customHeight="1">
      <c r="B25" s="145" t="str">
        <f>VLOOKUP("Info_Copyright_Caption", Hidden_Translations!$B$11:$K$1040,Hidden_Translations!$C$8,FALSE)</f>
        <v xml:space="preserve">Copyright: </v>
      </c>
      <c r="C25" s="156" t="str">
        <f>VLOOKUP("Info_Copyright_Text1", Hidden_Translations!$B$11:$K$1040,Hidden_Translations!$C$8,FALSE)</f>
        <v>(c) ICCEE Project, 2021 (www.iccee.eu)</v>
      </c>
      <c r="D25" s="156"/>
      <c r="E25" s="156"/>
      <c r="F25" s="156"/>
      <c r="G25" s="156"/>
      <c r="H25" s="156"/>
      <c r="I25" s="156"/>
      <c r="J25" s="156"/>
      <c r="K25" s="24"/>
    </row>
    <row r="26" spans="1:11" s="23" customFormat="1" ht="180" customHeight="1">
      <c r="B26" s="105"/>
      <c r="C26" s="156" t="str">
        <f>VLOOKUP("Info_Copyright_Text2", Hidden_Translations!$B$11:$K$1040,Hidden_Translations!$C$8,FALSE)</f>
        <v>All rights reserved; no part of this document may be translated, reproduced, stored in a retrieval system, or transmitted in any form or by any means, electronic, mechanical, photocopying, re-cording or otherwise, without the written permission of the publisher. Many of the designations used by manufacturers and sellers to distinguish their products are claimed as trademarks. The quotation of those designations in whatever way does not imply the conclusion that the use of those designations is legal without the content of the owner of the trademark. The sole responsibility for the document lies with the project. The document does not necessarily reflect the opinion of the European Union. Neither the EASME nor the European Commission is responsible for any use that may be made of the information contained therein. The English version of the copyright is authoritative. Versions in other languages are for information purposes only.</v>
      </c>
      <c r="D26" s="156"/>
      <c r="E26" s="156"/>
      <c r="F26" s="156"/>
      <c r="G26" s="156"/>
      <c r="H26" s="156"/>
      <c r="I26" s="156"/>
      <c r="J26" s="156"/>
      <c r="K26" s="24"/>
    </row>
  </sheetData>
  <sheetProtection sheet="1" selectLockedCells="1"/>
  <mergeCells count="7">
    <mergeCell ref="B6:J6"/>
    <mergeCell ref="C14:J14"/>
    <mergeCell ref="C25:J25"/>
    <mergeCell ref="C26:J26"/>
    <mergeCell ref="C10:J10"/>
    <mergeCell ref="C23:J23"/>
    <mergeCell ref="C8:D8"/>
  </mergeCells>
  <pageMargins left="0.70866141732283472" right="0.70866141732283472" top="0.78740157480314965" bottom="0.78740157480314965" header="0.31496062992125984" footer="0.31496062992125984"/>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Hidden_Lists!$C$12:$C$19</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05"/>
  <sheetViews>
    <sheetView zoomScaleNormal="100" workbookViewId="0">
      <selection activeCell="H41" sqref="H41"/>
    </sheetView>
  </sheetViews>
  <sheetFormatPr baseColWidth="10" defaultColWidth="11" defaultRowHeight="15"/>
  <cols>
    <col min="1" max="3" width="1.75" style="75" customWidth="1"/>
    <col min="4" max="4" width="20.625" style="12" customWidth="1"/>
    <col min="5" max="5" width="15.625" style="12" customWidth="1"/>
    <col min="6" max="6" width="41.875" style="12" customWidth="1"/>
    <col min="7" max="7" width="11.5" style="12" customWidth="1"/>
    <col min="8" max="8" width="15.625" style="12" customWidth="1"/>
    <col min="9" max="9" width="10.625" style="12" customWidth="1"/>
    <col min="10" max="10" width="10.875" style="12" customWidth="1"/>
    <col min="11" max="11" width="10.625" style="12" customWidth="1"/>
    <col min="12" max="16384" width="11" style="12"/>
  </cols>
  <sheetData>
    <row r="1" spans="1:13" ht="15" customHeight="1">
      <c r="I1" s="15"/>
    </row>
    <row r="2" spans="1:13" ht="18.75">
      <c r="D2" s="33" t="str">
        <f>VLOOKUP("General_Header",Hidden_Translations!$B$11:$J$129,Hidden_Translations!$C$8,FALSE)</f>
        <v>Improving Cold Chain Energy Efficiency (ICCEE project)</v>
      </c>
      <c r="E2" s="27"/>
      <c r="F2" s="27"/>
      <c r="G2" s="27"/>
      <c r="H2" s="27"/>
      <c r="I2" s="27"/>
      <c r="J2" s="27"/>
      <c r="K2" s="27"/>
    </row>
    <row r="3" spans="1:13" ht="15" customHeight="1"/>
    <row r="4" spans="1:13" ht="18.75">
      <c r="D4" s="35" t="str">
        <f>VLOOKUP("Identification_Header",Hidden_Translations!$B$11:$J$129,Hidden_Translations!$C$8,FALSE)</f>
        <v>#5: NEB Evaluator: Identify relevant non-energy benefits for your energy efficiency measure</v>
      </c>
      <c r="E4" s="35"/>
      <c r="F4" s="35"/>
      <c r="G4" s="35"/>
      <c r="H4" s="35"/>
      <c r="I4" s="35"/>
      <c r="J4" s="35"/>
      <c r="K4" s="35"/>
    </row>
    <row r="5" spans="1:13" ht="15" customHeight="1">
      <c r="D5" s="34"/>
    </row>
    <row r="6" spans="1:13" ht="60" customHeight="1">
      <c r="D6" s="170" t="str">
        <f>VLOOKUP("Identification_Header_Text",Hidden_Translations!$B$11:$J$129,Hidden_Translations!$C$8,FALSE)</f>
        <v>Energy efficiency measures (EEMs) can entail, additionally to the evident energy savings, non-energy related benefits (NEBs), such as enhanced competitiveness, reduced maintenance requirements or an improved working environment. A sample cold supply chain consists of several stages from the raw material supplier to the retailer. In the following you are invited to analyze an exemplary EEM implemented in your company or cold chain and consider the positive effects for you and other stages of your chain.</v>
      </c>
      <c r="E6" s="170"/>
      <c r="F6" s="170"/>
      <c r="G6" s="170"/>
      <c r="H6" s="170"/>
      <c r="I6" s="170"/>
      <c r="J6" s="170"/>
      <c r="K6" s="170"/>
      <c r="M6" s="15"/>
    </row>
    <row r="7" spans="1:13" ht="15" customHeight="1">
      <c r="J7" s="15"/>
    </row>
    <row r="8" spans="1:13" ht="15" customHeight="1">
      <c r="D8" s="87" t="str">
        <f>VLOOKUP("Identification_Define",Hidden_Translations!$B$11:$J$129,Hidden_Translations!$C$8,FALSE)</f>
        <v>Define your energy efficiency measure</v>
      </c>
      <c r="E8" s="88"/>
      <c r="F8" s="88"/>
      <c r="G8" s="88"/>
      <c r="H8" s="88"/>
      <c r="I8" s="88"/>
      <c r="J8" s="88"/>
      <c r="K8" s="88"/>
    </row>
    <row r="9" spans="1:13" s="17" customFormat="1" ht="15" customHeight="1">
      <c r="A9" s="75"/>
      <c r="B9" s="75"/>
      <c r="C9" s="75"/>
      <c r="D9" s="155"/>
      <c r="E9" s="155"/>
      <c r="F9" s="155"/>
      <c r="G9" s="155"/>
      <c r="H9" s="155"/>
      <c r="I9" s="155"/>
    </row>
    <row r="10" spans="1:13" ht="45" customHeight="1">
      <c r="D10" s="155" t="str">
        <f>VLOOKUP("Identification_Define_Text",Hidden_Translations!$B$11:$J$129,Hidden_Translations!$C$8,FALSE)</f>
        <v>Choose and describe a recently implemented EEM in your company if available. If no recent measures have been implemented choose a hypothetical measure on the basis of your experience. Please consider whether there are already implemented or planned energy saving projects in cooperation with other members of your cold supply chain that could be interesting for an evaluation.</v>
      </c>
      <c r="E10" s="155"/>
      <c r="F10" s="155"/>
      <c r="G10" s="155"/>
      <c r="H10" s="155"/>
      <c r="I10" s="155"/>
      <c r="J10" s="155"/>
      <c r="K10" s="155"/>
    </row>
    <row r="11" spans="1:13" s="17" customFormat="1" ht="14.25" customHeight="1">
      <c r="A11" s="75"/>
      <c r="B11" s="75"/>
      <c r="C11" s="75"/>
      <c r="D11" s="26"/>
    </row>
    <row r="12" spans="1:13" ht="30" customHeight="1">
      <c r="D12" s="165" t="str">
        <f>VLOOKUP("Identification_Title",Hidden_Translations!$B$11:$J$129,Hidden_Translations!$C$8,FALSE)</f>
        <v>Title of EEM</v>
      </c>
      <c r="E12" s="166"/>
      <c r="F12" s="162"/>
      <c r="G12" s="163"/>
      <c r="H12" s="163"/>
      <c r="I12" s="163"/>
      <c r="J12" s="163"/>
      <c r="K12" s="164"/>
    </row>
    <row r="13" spans="1:13" ht="75" customHeight="1">
      <c r="D13" s="12" t="str">
        <f>VLOOKUP("Identification_Description",Hidden_Translations!$B$11:$J$129,Hidden_Translations!$C$8,FALSE)</f>
        <v>Description</v>
      </c>
      <c r="F13" s="162"/>
      <c r="G13" s="163"/>
      <c r="H13" s="163"/>
      <c r="I13" s="163"/>
      <c r="J13" s="163"/>
      <c r="K13" s="164"/>
    </row>
    <row r="16" spans="1:13">
      <c r="D16" s="87" t="str">
        <f>VLOOKUP("Identification_Select",Hidden_Translations!$B$11:$J$129,Hidden_Translations!$C$8,FALSE)</f>
        <v>Select relevant non-energy benefits</v>
      </c>
      <c r="E16" s="88"/>
      <c r="F16" s="88"/>
      <c r="G16" s="88"/>
      <c r="H16" s="88"/>
      <c r="I16" s="88"/>
      <c r="J16" s="87"/>
      <c r="K16" s="88"/>
    </row>
    <row r="17" spans="4:12" ht="15" customHeight="1">
      <c r="E17" s="155"/>
      <c r="F17" s="155"/>
      <c r="G17" s="155"/>
      <c r="H17" s="155"/>
      <c r="I17" s="155"/>
      <c r="J17" s="155"/>
      <c r="K17" s="155"/>
      <c r="L17" s="4"/>
    </row>
    <row r="18" spans="4:12" ht="30" customHeight="1">
      <c r="D18" s="155" t="str">
        <f>VLOOKUP("Identification_Select_Text",Hidden_Translations!$B$11:$J$129,Hidden_Translations!$C$8,FALSE)</f>
        <v xml:space="preserve">For your chosen EEM: Please go through the three steps below, i.e. identify relevant NEBs and evaluate and analyse their importance for the strategy of your company respectively cold supply chain. </v>
      </c>
      <c r="E18" s="155"/>
      <c r="F18" s="155"/>
      <c r="G18" s="155"/>
      <c r="H18" s="155"/>
      <c r="I18" s="155"/>
      <c r="J18" s="155"/>
      <c r="K18" s="155"/>
      <c r="L18" s="4"/>
    </row>
    <row r="19" spans="4:12" ht="15" customHeight="1">
      <c r="E19" s="25"/>
      <c r="F19" s="25"/>
      <c r="G19" s="25"/>
      <c r="H19" s="25"/>
      <c r="I19" s="25"/>
      <c r="J19" s="25"/>
      <c r="K19" s="25"/>
      <c r="L19" s="4"/>
    </row>
    <row r="20" spans="4:12" ht="30" customHeight="1">
      <c r="D20" s="21" t="str">
        <f>VLOOKUP("Identification_Relevance",Hidden_Translations!$B$11:$J$129,Hidden_Translations!$C$8,FALSE)</f>
        <v>#1: Relevance</v>
      </c>
      <c r="E20" s="155" t="str">
        <f>VLOOKUP("Identification_Relevance_Text",Hidden_Translations!$B$11:$J$129,Hidden_Translations!$C$8,FALSE)</f>
        <v xml:space="preserve">Relevant NEBs: Please go through the list of NEBs along with suggested indicators and select those relevant for your EEM by an 'X' (column G). </v>
      </c>
      <c r="F20" s="155"/>
      <c r="G20" s="155"/>
      <c r="H20" s="155"/>
      <c r="I20" s="155"/>
      <c r="J20" s="155"/>
      <c r="K20" s="155"/>
      <c r="L20" s="4"/>
    </row>
    <row r="21" spans="4:12">
      <c r="D21" s="2"/>
      <c r="E21" s="25"/>
      <c r="F21" s="25"/>
      <c r="G21" s="25"/>
      <c r="H21" s="25"/>
      <c r="I21" s="25"/>
      <c r="J21" s="25"/>
      <c r="K21" s="25"/>
      <c r="L21" s="25"/>
    </row>
    <row r="22" spans="4:12">
      <c r="D22" s="21" t="str">
        <f>VLOOKUP("Identification_Importance",Hidden_Translations!$B$11:$J$129,Hidden_Translations!$C$8,FALSE)</f>
        <v>#2: Importance</v>
      </c>
      <c r="E22" s="155" t="str">
        <f>VLOOKUP("Identification_Importance_Text",Hidden_Translations!$B$11:$J$129,Hidden_Translations!$C$8,FALSE)</f>
        <v>Strategic importance: Evaluate their importance to strategy by the appropriate selection (column H).</v>
      </c>
      <c r="F22" s="155"/>
      <c r="G22" s="155"/>
      <c r="H22" s="155"/>
      <c r="I22" s="155"/>
      <c r="J22" s="155"/>
      <c r="K22" s="155"/>
      <c r="L22" s="155"/>
    </row>
    <row r="23" spans="4:12" ht="18.75">
      <c r="D23" s="2"/>
      <c r="E23" s="30"/>
    </row>
    <row r="24" spans="4:12" ht="45" customHeight="1">
      <c r="D24" s="21" t="str">
        <f>VLOOKUP("Identification_Analysis",Hidden_Translations!$B$11:$J$129,Hidden_Translations!$C$8,FALSE)</f>
        <v>#3: Analysis</v>
      </c>
      <c r="E24" s="155" t="str">
        <f>VLOOKUP("Identification_Analysis_Text",Hidden_Translations!$B$11:$J$129,Hidden_Translations!$C$8,FALSE)</f>
        <v>Strategic analysis: Start with the highest ranked NEBs and classify their contribution to the strategy according to cost decrease, value propostion increase and risk reduction for your EEM (put an "X" accordingly, maximum of 5 per category, columns I to K).</v>
      </c>
      <c r="F24" s="155"/>
      <c r="G24" s="155"/>
      <c r="H24" s="155"/>
      <c r="I24" s="155"/>
      <c r="J24" s="155"/>
      <c r="K24" s="155"/>
      <c r="L24" s="31"/>
    </row>
    <row r="25" spans="4:12" ht="15" customHeight="1">
      <c r="E25" s="25"/>
      <c r="F25" s="25"/>
      <c r="G25" s="25"/>
      <c r="H25" s="25"/>
      <c r="I25" s="25"/>
      <c r="J25" s="25"/>
      <c r="K25" s="25"/>
      <c r="L25" s="25"/>
    </row>
    <row r="26" spans="4:12" ht="30" customHeight="1">
      <c r="D26" s="25"/>
      <c r="E26" s="32" t="str">
        <f>VLOOKUP("Identification_Analysis_Costs",Hidden_Translations!$B$11:$J$129,Hidden_Translations!$C$8,FALSE)</f>
        <v xml:space="preserve">Costs: </v>
      </c>
      <c r="F26" s="155" t="str">
        <f>VLOOKUP("Identification_Analysis_Costs_Text",Hidden_Translations!$B$11:$J$129,Hidden_Translations!$C$8,FALSE)</f>
        <v>Monetary savings from the introduction of the EEM. EEMs can reduce costs in a company, well beyond the energy costs.</v>
      </c>
      <c r="G26" s="155"/>
      <c r="H26" s="155"/>
      <c r="I26" s="155"/>
      <c r="J26" s="155"/>
      <c r="K26" s="155"/>
      <c r="L26" s="31"/>
    </row>
    <row r="27" spans="4:12" ht="15" customHeight="1">
      <c r="E27" s="25"/>
      <c r="F27" s="25"/>
      <c r="G27" s="25"/>
      <c r="H27" s="25"/>
      <c r="I27" s="25"/>
      <c r="J27" s="25"/>
      <c r="K27" s="25"/>
      <c r="L27" s="25"/>
    </row>
    <row r="28" spans="4:12" ht="30.75" customHeight="1">
      <c r="D28" s="25"/>
      <c r="E28" s="32" t="str">
        <f>VLOOKUP("Identification_Analysis_Value",Hidden_Translations!$B$11:$J$129,Hidden_Translations!$C$8,FALSE)</f>
        <v xml:space="preserve">Value proposition:  </v>
      </c>
      <c r="F28" s="155" t="str">
        <f>VLOOKUP("Identification_Analysis_Value_Text",Hidden_Translations!$B$11:$J$129,Hidden_Translations!$C$8,FALSE)</f>
        <v>Non-monetary value added from the EEM for the customer or employees. Increased value translates in additional income. E.g. customers want to buy more of the high-quality products.</v>
      </c>
      <c r="G28" s="155"/>
      <c r="H28" s="155"/>
      <c r="I28" s="155"/>
      <c r="J28" s="155"/>
      <c r="K28" s="155"/>
      <c r="L28" s="29"/>
    </row>
    <row r="29" spans="4:12" ht="15" customHeight="1">
      <c r="D29" s="25"/>
      <c r="E29" s="32"/>
      <c r="F29" s="25"/>
      <c r="G29" s="25"/>
      <c r="H29" s="25"/>
      <c r="I29" s="25"/>
      <c r="J29" s="25"/>
      <c r="K29" s="25"/>
      <c r="L29" s="25"/>
    </row>
    <row r="30" spans="4:12" ht="30" customHeight="1">
      <c r="D30" s="25"/>
      <c r="E30" s="32" t="str">
        <f>VLOOKUP("Identification_Analysis_Risks",Hidden_Translations!$B$11:$J$129,Hidden_Translations!$C$8,FALSE)</f>
        <v xml:space="preserve">Risks: </v>
      </c>
      <c r="F30" s="155" t="str">
        <f>VLOOKUP("Identification_Analysis_Risks_Text",Hidden_Translations!$B$11:$J$129,Hidden_Translations!$C$8,FALSE)</f>
        <v xml:space="preserve">EEMs can entail a reduction of important risks translating in value proposition increase and cost decrease. E.g. reduced risk of staff illness or production </v>
      </c>
      <c r="G30" s="155"/>
      <c r="H30" s="155"/>
      <c r="I30" s="155"/>
      <c r="J30" s="155"/>
      <c r="K30" s="155"/>
      <c r="L30" s="29"/>
    </row>
    <row r="31" spans="4:12" ht="15" customHeight="1">
      <c r="D31" s="25"/>
      <c r="E31" s="32"/>
      <c r="F31" s="25"/>
      <c r="G31" s="25"/>
      <c r="H31" s="25"/>
      <c r="I31" s="25"/>
      <c r="J31" s="25"/>
      <c r="K31" s="25"/>
      <c r="L31" s="25"/>
    </row>
    <row r="32" spans="4:12" ht="30" customHeight="1">
      <c r="D32" s="169" t="str">
        <f>VLOOKUP("Identification_Area",Hidden_Translations!$B$11:$J$129,Hidden_Translations!$C$8,FALSE)</f>
        <v>Area and non-energy benefit</v>
      </c>
      <c r="E32" s="169"/>
      <c r="F32" s="89" t="str">
        <f>VLOOKUP("Identification_Sample",Hidden_Translations!$B$11:$J$129,Hidden_Translations!$C$8,FALSE)</f>
        <v>Sample indicators</v>
      </c>
      <c r="G32" s="86" t="str">
        <f>VLOOKUP("Identification_Step1",Hidden_Translations!$B$11:$J$129,Hidden_Translations!$C$8,FALSE)</f>
        <v>Step #1: 
Relevance</v>
      </c>
      <c r="H32" s="86" t="str">
        <f>VLOOKUP("Identification_Step2",Hidden_Translations!$B$11:$J$129,Hidden_Translations!$C$8,FALSE)</f>
        <v>Step #2: 
Importance</v>
      </c>
      <c r="I32" s="168" t="str">
        <f>VLOOKUP("Identification_Step3",Hidden_Translations!$B$11:$J$129,Hidden_Translations!$C$8,FALSE)</f>
        <v>Step #3: 
Strategic analysis</v>
      </c>
      <c r="J32" s="168"/>
      <c r="K32" s="168"/>
    </row>
    <row r="33" spans="1:13" ht="30" customHeight="1">
      <c r="D33" s="85"/>
      <c r="E33" s="85"/>
      <c r="F33" s="85"/>
      <c r="G33" s="86"/>
      <c r="H33" s="85"/>
      <c r="I33" s="85" t="str">
        <f>VLOOKUP("Identification_Analysis_Costs",Hidden_Translations!$B$11:$J$129,Hidden_Translations!$C$8,FALSE)</f>
        <v xml:space="preserve">Costs: </v>
      </c>
      <c r="J33" s="86" t="str">
        <f>VLOOKUP("Identification_Analysis_Value",Hidden_Translations!$B$11:$J$129,Hidden_Translations!$C$8,FALSE)</f>
        <v xml:space="preserve">Value proposition:  </v>
      </c>
      <c r="K33" s="85" t="str">
        <f>VLOOKUP("Identification_Analysis_Risks",Hidden_Translations!$B$11:$J$129,Hidden_Translations!$C$8,FALSE)</f>
        <v xml:space="preserve">Risks: </v>
      </c>
    </row>
    <row r="34" spans="1:13" ht="15" customHeight="1">
      <c r="A34" s="75">
        <f>MAX(A36:A100)</f>
        <v>0</v>
      </c>
      <c r="B34" s="75">
        <f>MAX(B36:B100)</f>
        <v>0</v>
      </c>
      <c r="C34" s="75">
        <f>MAX(C36:C100)</f>
        <v>0</v>
      </c>
      <c r="D34" s="36"/>
      <c r="E34" s="36"/>
      <c r="F34" s="36"/>
      <c r="G34" s="160" t="str">
        <f>IF(OR(A34&gt;31,B34&gt;31,C34&gt;31),VLOOKUP("Identification_Warning",Hidden_Translations!$B$11:$K$1045, Hidden_Translations!$C$8,FALSE),"")</f>
        <v/>
      </c>
      <c r="H34" s="160"/>
      <c r="I34" s="160"/>
      <c r="J34" s="160"/>
      <c r="K34" s="160"/>
      <c r="M34" s="15"/>
    </row>
    <row r="35" spans="1:13" ht="15" customHeight="1">
      <c r="D35" s="90" t="str">
        <f>VLOOKUP("Identification_Area1",Hidden_Translations!$B$11:$J$129,Hidden_Translations!$C$8,FALSE)</f>
        <v>Area: Production &amp; products</v>
      </c>
      <c r="E35" s="90"/>
      <c r="F35" s="91"/>
      <c r="G35" s="86"/>
      <c r="H35" s="85"/>
      <c r="I35" s="159" t="str">
        <f>VLOOKUP("Identification_maximum",Hidden_Translations!$B$11:$J$129,Hidden_Translations!$C$8,FALSE)</f>
        <v>(maximum of 5 per category)</v>
      </c>
      <c r="J35" s="159"/>
      <c r="K35" s="159"/>
    </row>
    <row r="36" spans="1:13" ht="30" customHeight="1">
      <c r="A36" s="75">
        <f>IF(I36="X",1,0)</f>
        <v>0</v>
      </c>
      <c r="B36" s="75">
        <f>IF(J36="X",1,0)</f>
        <v>0</v>
      </c>
      <c r="C36" s="75">
        <f>IF(K36="X",1,0)</f>
        <v>0</v>
      </c>
      <c r="D36" s="167" t="str">
        <f>VLOOKUP("Identification_Area1_Text1",Hidden_Translations!$B$11:$J$129,Hidden_Translations!$C$8,FALSE)</f>
        <v xml:space="preserve">Reduced malfunction or breakdown of machinery and equipment </v>
      </c>
      <c r="E36" s="167"/>
      <c r="F36" s="4" t="str">
        <f>VLOOKUP("Identification_Sample1_Text1",Hidden_Translations!$B$11:$J$129,Hidden_Translations!$C$8,FALSE)</f>
        <v>Number of breakdowns/defects</v>
      </c>
      <c r="G36" s="77"/>
      <c r="H36" s="78"/>
      <c r="I36" s="79"/>
      <c r="J36" s="79"/>
      <c r="K36" s="79"/>
    </row>
    <row r="37" spans="1:13" ht="30" customHeight="1">
      <c r="A37" s="75">
        <f>IF(I37="X",SUM(A$36:A36)+1,0)</f>
        <v>0</v>
      </c>
      <c r="B37" s="75">
        <f>IF(J37="X",SUM(B$36:B36)+1,0)</f>
        <v>0</v>
      </c>
      <c r="C37" s="75">
        <f>IF(K37="X",SUM(C$36:C36)+1,0)</f>
        <v>0</v>
      </c>
      <c r="D37" s="167" t="str">
        <f>VLOOKUP("Identification_Area1_Text2",Hidden_Translations!$B$11:$J$129,Hidden_Translations!$C$8,FALSE)</f>
        <v>Improved equipment performance</v>
      </c>
      <c r="E37" s="167"/>
      <c r="F37" s="59" t="str">
        <f>VLOOKUP("Identification_Sample1_Text2",Hidden_Translations!$B$11:$J$129,Hidden_Translations!$C$8,FALSE)</f>
        <v>Percent default pieces/pieces produced</v>
      </c>
      <c r="G37" s="77"/>
      <c r="H37" s="78"/>
      <c r="I37" s="79"/>
      <c r="J37" s="79"/>
      <c r="K37" s="79"/>
    </row>
    <row r="38" spans="1:13" ht="30" customHeight="1">
      <c r="A38" s="75">
        <f>IF(I38="X",SUM(A$36:A37)+1,0)</f>
        <v>0</v>
      </c>
      <c r="B38" s="75">
        <f>IF(J38="X",SUM(B$36:B37)+1,0)</f>
        <v>0</v>
      </c>
      <c r="C38" s="75">
        <f>IF(K38="X",SUM(C$36:C37)+1,0)</f>
        <v>0</v>
      </c>
      <c r="D38" s="167" t="str">
        <f>VLOOKUP("Identification_Area1_Text3",Hidden_Translations!$B$11:$J$129,Hidden_Translations!$C$8,FALSE)</f>
        <v>Longer equipment life (due to reduced wear and tear)</v>
      </c>
      <c r="E38" s="167"/>
      <c r="F38" s="59" t="str">
        <f>VLOOKUP("Identification_Sample1_Text3",Hidden_Translations!$B$11:$J$129,Hidden_Translations!$C$8,FALSE)</f>
        <v xml:space="preserve">Cost of equipment - spending delayed </v>
      </c>
      <c r="G38" s="77"/>
      <c r="H38" s="78"/>
      <c r="I38" s="79"/>
      <c r="J38" s="79"/>
      <c r="K38" s="79"/>
    </row>
    <row r="39" spans="1:13" ht="30" customHeight="1">
      <c r="A39" s="75">
        <f>IF(I39="X",SUM(A$36:A38)+1,0)</f>
        <v>0</v>
      </c>
      <c r="B39" s="75">
        <f>IF(J39="X",SUM(B$36:B38)+1,0)</f>
        <v>0</v>
      </c>
      <c r="C39" s="75">
        <f>IF(K39="X",SUM(C$36:C38)+1,0)</f>
        <v>0</v>
      </c>
      <c r="D39" s="167" t="str">
        <f>VLOOKUP("Identification_Area1_Text4",Hidden_Translations!$B$11:$J$129,Hidden_Translations!$C$8,FALSE)</f>
        <v>Improved product quality /consistency</v>
      </c>
      <c r="E39" s="167"/>
      <c r="F39" s="59" t="str">
        <f>VLOOKUP("Identification_Sample1_Text4",Hidden_Translations!$B$11:$J$129,Hidden_Translations!$C$8,FALSE)</f>
        <v>Reduction of production losses - redo</v>
      </c>
      <c r="G39" s="77"/>
      <c r="H39" s="78"/>
      <c r="I39" s="79"/>
      <c r="J39" s="79"/>
      <c r="K39" s="79"/>
    </row>
    <row r="40" spans="1:13" ht="30" customHeight="1">
      <c r="A40" s="75">
        <f>IF(I40="X",SUM(A$36:A39)+1,0)</f>
        <v>0</v>
      </c>
      <c r="B40" s="75">
        <f>IF(J40="X",SUM(B$36:B39)+1,0)</f>
        <v>0</v>
      </c>
      <c r="C40" s="75">
        <f>IF(K40="X",SUM(C$36:C39)+1,0)</f>
        <v>0</v>
      </c>
      <c r="D40" s="167" t="str">
        <f>VLOOKUP("Identification_Area1_Text5",Hidden_Translations!$B$11:$J$129,Hidden_Translations!$C$8,FALSE)</f>
        <v>Increased production reliability (due to better control)</v>
      </c>
      <c r="E40" s="167"/>
      <c r="F40" s="59" t="str">
        <f>VLOOKUP("Identification_Sample1_Text5",Hidden_Translations!$B$11:$J$129,Hidden_Translations!$C$8,FALSE)</f>
        <v>Percent of conformity to specifications/total of pieces produced</v>
      </c>
      <c r="G40" s="77"/>
      <c r="H40" s="78"/>
      <c r="I40" s="79"/>
      <c r="J40" s="79"/>
      <c r="K40" s="79"/>
    </row>
    <row r="41" spans="1:13" ht="30" customHeight="1">
      <c r="A41" s="75">
        <f>IF(I41="X",SUM(A$36:A40)+1,0)</f>
        <v>0</v>
      </c>
      <c r="B41" s="75">
        <f>IF(J41="X",SUM(B$36:B40)+1,0)</f>
        <v>0</v>
      </c>
      <c r="C41" s="75">
        <f>IF(K41="X",SUM(C$36:C40)+1,0)</f>
        <v>0</v>
      </c>
      <c r="D41" s="167" t="str">
        <f>VLOOKUP("Identification_Area1_Text6",Hidden_Translations!$B$11:$J$129,Hidden_Translations!$C$8,FALSE)</f>
        <v>Larger product range</v>
      </c>
      <c r="E41" s="167"/>
      <c r="F41" s="59" t="str">
        <f>VLOOKUP("Identification_Sample1_Text6",Hidden_Translations!$B$11:$J$129,Hidden_Translations!$C$8,FALSE)</f>
        <v>Number of additional products</v>
      </c>
      <c r="G41" s="77"/>
      <c r="H41" s="78"/>
      <c r="I41" s="79"/>
      <c r="J41" s="79"/>
      <c r="K41" s="79"/>
    </row>
    <row r="42" spans="1:13" ht="30" customHeight="1">
      <c r="A42" s="75">
        <f>IF(I42="X",SUM(A$36:A41)+1,0)</f>
        <v>0</v>
      </c>
      <c r="B42" s="75">
        <f>IF(J42="X",SUM(B$36:B41)+1,0)</f>
        <v>0</v>
      </c>
      <c r="C42" s="75">
        <f>IF(K42="X",SUM(C$36:C41)+1,0)</f>
        <v>0</v>
      </c>
      <c r="D42" s="167" t="str">
        <f>VLOOKUP("Identification_Area1_Text7",Hidden_Translations!$B$11:$J$129,Hidden_Translations!$C$8,FALSE)</f>
        <v>Reduced customer service costs (due to better quality)</v>
      </c>
      <c r="E42" s="167"/>
      <c r="F42" s="59" t="str">
        <f>VLOOKUP("Identification_Sample1_Text7",Hidden_Translations!$B$11:$J$129,Hidden_Translations!$C$8,FALSE)</f>
        <v>Number of product recalls * cost of product recall</v>
      </c>
      <c r="G42" s="77"/>
      <c r="H42" s="78"/>
      <c r="I42" s="79"/>
      <c r="J42" s="79"/>
      <c r="K42" s="79"/>
    </row>
    <row r="43" spans="1:13" ht="30" customHeight="1">
      <c r="A43" s="75">
        <f>IF(I43="X",SUM(A$36:A42)+1,0)</f>
        <v>0</v>
      </c>
      <c r="B43" s="75">
        <f>IF(J43="X",SUM(B$36:B42)+1,0)</f>
        <v>0</v>
      </c>
      <c r="C43" s="75">
        <f>IF(K43="X",SUM(C$36:C42)+1,0)</f>
        <v>0</v>
      </c>
      <c r="D43" s="167" t="str">
        <f>VLOOKUP("Identification_Area1_Text8",Hidden_Translations!$B$11:$J$129,Hidden_Translations!$C$8,FALSE)</f>
        <v>Improved flexibility of production</v>
      </c>
      <c r="E43" s="167"/>
      <c r="F43" s="59" t="str">
        <f>VLOOKUP("Identification_Sample1_Text8",Hidden_Translations!$B$11:$J$129,Hidden_Translations!$C$8,FALSE)</f>
        <v>Time-to-market - throughput time</v>
      </c>
      <c r="G43" s="77"/>
      <c r="H43" s="78"/>
      <c r="I43" s="79"/>
      <c r="J43" s="79"/>
      <c r="K43" s="79"/>
    </row>
    <row r="44" spans="1:13" ht="30" customHeight="1">
      <c r="A44" s="75">
        <f>IF(I44="X",SUM(A$36:A43)+1,0)</f>
        <v>0</v>
      </c>
      <c r="B44" s="75">
        <f>IF(J44="X",SUM(B$36:B43)+1,0)</f>
        <v>0</v>
      </c>
      <c r="C44" s="75">
        <f>IF(K44="X",SUM(C$36:C43)+1,0)</f>
        <v>0</v>
      </c>
      <c r="D44" s="167" t="str">
        <f>VLOOKUP("Identification_Area1_Text9",Hidden_Translations!$B$11:$J$129,Hidden_Translations!$C$8,FALSE)</f>
        <v>Reduced raw material need</v>
      </c>
      <c r="E44" s="167"/>
      <c r="F44" s="59" t="str">
        <f>VLOOKUP("Identification_Sample1_Text9",Hidden_Translations!$B$11:$J$129,Hidden_Translations!$C$8,FALSE)</f>
        <v>Percent of raw materials of production volume
(in t/y) * costs of material (in EUR/t)</v>
      </c>
      <c r="G44" s="77"/>
      <c r="H44" s="78"/>
      <c r="I44" s="79"/>
      <c r="J44" s="79"/>
      <c r="K44" s="79"/>
      <c r="M44" s="15"/>
    </row>
    <row r="45" spans="1:13" ht="30" customHeight="1">
      <c r="A45" s="75">
        <f>IF(I45="X",SUM(A$36:A44)+1,0)</f>
        <v>0</v>
      </c>
      <c r="B45" s="75">
        <f>IF(J45="X",SUM(B$36:B44)+1,0)</f>
        <v>0</v>
      </c>
      <c r="C45" s="75">
        <f>IF(K45="X",SUM(C$36:C44)+1,0)</f>
        <v>0</v>
      </c>
      <c r="D45" s="167" t="str">
        <f>VLOOKUP("Identification_Area1_Text10",Hidden_Translations!$B$11:$J$129,Hidden_Translations!$C$8,FALSE)</f>
        <v>Reduced consumables</v>
      </c>
      <c r="E45" s="167"/>
      <c r="F45" s="59" t="str">
        <f>VLOOKUP("Identification_Sample1_Text10",Hidden_Translations!$B$11:$J$129,Hidden_Translations!$C$8,FALSE)</f>
        <v>(n/y) * price (Euro/product)</v>
      </c>
      <c r="G45" s="77"/>
      <c r="H45" s="78"/>
      <c r="I45" s="79"/>
      <c r="J45" s="79"/>
      <c r="K45" s="79"/>
    </row>
    <row r="46" spans="1:13" ht="30" customHeight="1">
      <c r="A46" s="75">
        <f>IF(I46="X",SUM(A$36:A45)+1,0)</f>
        <v>0</v>
      </c>
      <c r="B46" s="75">
        <f>IF(J46="X",SUM(B$36:B45)+1,0)</f>
        <v>0</v>
      </c>
      <c r="C46" s="75">
        <f>IF(K46="X",SUM(C$36:C45)+1,0)</f>
        <v>0</v>
      </c>
      <c r="D46" s="167" t="str">
        <f>VLOOKUP("Identification_Area1_Text11",Hidden_Translations!$B$11:$J$129,Hidden_Translations!$C$8,FALSE)</f>
        <v>Shorter production cycle (shorter process cycle time)</v>
      </c>
      <c r="E46" s="167"/>
      <c r="F46" s="59" t="str">
        <f>VLOOKUP("Identification_Sample1_Text11",Hidden_Translations!$B$11:$J$129,Hidden_Translations!$C$8,FALSE)</f>
        <v>Duration of production time</v>
      </c>
      <c r="G46" s="77"/>
      <c r="H46" s="78"/>
      <c r="I46" s="79"/>
      <c r="J46" s="79"/>
      <c r="K46" s="79"/>
    </row>
    <row r="47" spans="1:13" ht="30" customHeight="1">
      <c r="A47" s="75">
        <f>IF(I47="X",SUM(A$36:A46)+1,0)</f>
        <v>0</v>
      </c>
      <c r="B47" s="75">
        <f>IF(J47="X",SUM(B$36:B46)+1,0)</f>
        <v>0</v>
      </c>
      <c r="C47" s="75">
        <f>IF(K47="X",SUM(C$36:C46)+1,0)</f>
        <v>0</v>
      </c>
      <c r="D47" s="167" t="str">
        <f>VLOOKUP("Identification_Area1_Text12",Hidden_Translations!$B$11:$J$129,Hidden_Translations!$C$8,FALSE)</f>
        <v>Increased production volume</v>
      </c>
      <c r="E47" s="167"/>
      <c r="F47" s="59" t="str">
        <f>VLOOKUP("Identification_Sample1_Text12",Hidden_Translations!$B$11:$J$129,Hidden_Translations!$C$8,FALSE)</f>
        <v>(n/y) * price (Euro/product)</v>
      </c>
      <c r="G47" s="77"/>
      <c r="H47" s="78"/>
      <c r="I47" s="79"/>
      <c r="J47" s="79"/>
      <c r="K47" s="79"/>
    </row>
    <row r="48" spans="1:13" ht="30" customHeight="1">
      <c r="A48" s="75">
        <f>IF(I48="X",SUM(A$36:A47)+1,0)</f>
        <v>0</v>
      </c>
      <c r="B48" s="75">
        <f>IF(J48="X",SUM(B$36:B47)+1,0)</f>
        <v>0</v>
      </c>
      <c r="C48" s="75">
        <f>IF(K48="X",SUM(C$36:C47)+1,0)</f>
        <v>0</v>
      </c>
      <c r="D48" s="167" t="str">
        <f>VLOOKUP("Identification_Area1_Text13",Hidden_Translations!$B$11:$J$129,Hidden_Translations!$C$8,FALSE)</f>
        <v>Increased production yields</v>
      </c>
      <c r="E48" s="167"/>
      <c r="F48" s="59" t="str">
        <f>VLOOKUP("Identification_Sample1_Text13",Hidden_Translations!$B$11:$J$129,Hidden_Translations!$C$8,FALSE)</f>
        <v>Output total/input total</v>
      </c>
      <c r="G48" s="77"/>
      <c r="H48" s="78"/>
      <c r="I48" s="79"/>
      <c r="J48" s="79"/>
      <c r="K48" s="79"/>
    </row>
    <row r="49" spans="1:11" s="17" customFormat="1" ht="15" customHeight="1">
      <c r="A49" s="75"/>
      <c r="B49" s="75"/>
      <c r="C49" s="75"/>
      <c r="G49" s="160"/>
      <c r="H49" s="160"/>
      <c r="I49" s="160"/>
      <c r="J49" s="160"/>
      <c r="K49" s="160"/>
    </row>
    <row r="50" spans="1:11" ht="15" customHeight="1">
      <c r="D50" s="90" t="str">
        <f>VLOOKUP("Identification_Area2",Hidden_Translations!$B$11:$J$129,Hidden_Translations!$C$8,FALSE)</f>
        <v>Area: Waste &amp; water</v>
      </c>
      <c r="E50" s="90"/>
      <c r="F50" s="91"/>
      <c r="G50" s="86"/>
      <c r="H50" s="85"/>
      <c r="I50" s="159"/>
      <c r="J50" s="159"/>
      <c r="K50" s="159"/>
    </row>
    <row r="51" spans="1:11" ht="30" customHeight="1">
      <c r="A51" s="75">
        <f>IF(I51="X",SUM(A$36:A50)+1,0)</f>
        <v>0</v>
      </c>
      <c r="B51" s="75">
        <f>IF(J51="X",SUM(B$36:B50)+1,0)</f>
        <v>0</v>
      </c>
      <c r="C51" s="75">
        <f>IF(K51="X",SUM(C$36:C50)+1,0)</f>
        <v>0</v>
      </c>
      <c r="D51" s="167" t="str">
        <f>VLOOKUP("Identification_Area2_Text1",Hidden_Translations!$B$11:$K$1045,Hidden_Translations!$C$8,FALSE)</f>
        <v>Reduced waste heat</v>
      </c>
      <c r="E51" s="167" t="s">
        <v>21</v>
      </c>
      <c r="F51" s="4" t="str">
        <f>VLOOKUP("Identification_Sample2_Text1",Hidden_Translations!$B$11:$K$1045,Hidden_Translations!$C$8,FALSE)</f>
        <v>Quantity (total or as % of production)</v>
      </c>
      <c r="G51" s="77"/>
      <c r="H51" s="78"/>
      <c r="I51" s="79"/>
      <c r="J51" s="79"/>
      <c r="K51" s="79"/>
    </row>
    <row r="52" spans="1:11" ht="30" customHeight="1">
      <c r="A52" s="75">
        <f>IF(I52="X",SUM(A$36:A51)+1,0)</f>
        <v>0</v>
      </c>
      <c r="B52" s="75">
        <f>IF(J52="X",SUM(B$36:B51)+1,0)</f>
        <v>0</v>
      </c>
      <c r="C52" s="75">
        <f>IF(K52="X",SUM(C$36:C51)+1,0)</f>
        <v>0</v>
      </c>
      <c r="D52" s="167" t="str">
        <f>VLOOKUP("Identification_Area2_Text2",Hidden_Translations!$B$11:$K$1045,Hidden_Translations!$C$8,FALSE)</f>
        <v>Re-use of waste heat</v>
      </c>
      <c r="E52" s="167" t="s">
        <v>21</v>
      </c>
      <c r="F52" s="59" t="str">
        <f>VLOOKUP("Identification_Sample2_Text2",Hidden_Translations!$B$11:$K$1045,Hidden_Translations!$C$8,FALSE)</f>
        <v>Quantity (% of total waste heat)</v>
      </c>
      <c r="G52" s="77"/>
      <c r="H52" s="78"/>
      <c r="I52" s="79"/>
      <c r="J52" s="79"/>
      <c r="K52" s="79"/>
    </row>
    <row r="53" spans="1:11" ht="30" customHeight="1">
      <c r="A53" s="75">
        <f>IF(I53="X",SUM(A$36:A52)+1,0)</f>
        <v>0</v>
      </c>
      <c r="B53" s="75">
        <f>IF(J53="X",SUM(B$36:B52)+1,0)</f>
        <v>0</v>
      </c>
      <c r="C53" s="75">
        <f>IF(K53="X",SUM(C$36:C52)+1,0)</f>
        <v>0</v>
      </c>
      <c r="D53" s="167" t="str">
        <f>VLOOKUP("Identification_Area2_Text3",Hidden_Translations!$B$11:$K$1045,Hidden_Translations!$C$8,FALSE)</f>
        <v>Reduced hazardous waste</v>
      </c>
      <c r="E53" s="167" t="s">
        <v>21</v>
      </c>
      <c r="F53" s="59" t="str">
        <f>VLOOKUP("Identification_Sample2_Text3",Hidden_Translations!$B$11:$K$1045,Hidden_Translations!$C$8,FALSE)</f>
        <v>(kg/y) * disposal costs (Euro/kg)</v>
      </c>
      <c r="G53" s="77"/>
      <c r="H53" s="78"/>
      <c r="I53" s="79"/>
      <c r="J53" s="79"/>
      <c r="K53" s="79"/>
    </row>
    <row r="54" spans="1:11" ht="30" customHeight="1">
      <c r="A54" s="75">
        <f>IF(I54="X",SUM(A$36:A53)+1,0)</f>
        <v>0</v>
      </c>
      <c r="B54" s="75">
        <f>IF(J54="X",SUM(B$36:B53)+1,0)</f>
        <v>0</v>
      </c>
      <c r="C54" s="75">
        <f>IF(K54="X",SUM(C$36:C53)+1,0)</f>
        <v>0</v>
      </c>
      <c r="D54" s="167" t="str">
        <f>VLOOKUP("Identification_Area2_Text4",Hidden_Translations!$B$11:$K$1045,Hidden_Translations!$C$8,FALSE)</f>
        <v>Reduced water consumption</v>
      </c>
      <c r="E54" s="167" t="s">
        <v>21</v>
      </c>
      <c r="F54" s="59" t="str">
        <f>VLOOKUP("Identification_Sample2_Text4",Hidden_Translations!$B$11:$K$1045,Hidden_Translations!$C$8,FALSE)</f>
        <v>Water - production volume (or in % of turnover)
(m3/y) * costs of water (in EUR/m3)</v>
      </c>
      <c r="G54" s="77"/>
      <c r="H54" s="78"/>
      <c r="I54" s="79"/>
      <c r="J54" s="79"/>
      <c r="K54" s="79"/>
    </row>
    <row r="55" spans="1:11" ht="30" customHeight="1">
      <c r="A55" s="75">
        <f>IF(I55="X",SUM(A$36:A54)+1,0)</f>
        <v>0</v>
      </c>
      <c r="B55" s="75">
        <f>IF(J55="X",SUM(B$36:B54)+1,0)</f>
        <v>0</v>
      </c>
      <c r="C55" s="75">
        <f>IF(K55="X",SUM(C$36:C54)+1,0)</f>
        <v>0</v>
      </c>
      <c r="D55" s="167" t="str">
        <f>VLOOKUP("Identification_Area2_Text5",Hidden_Translations!$B$11:$K$1045,Hidden_Translations!$C$8,FALSE)</f>
        <v>Reduced sewage volume</v>
      </c>
      <c r="E55" s="167" t="s">
        <v>21</v>
      </c>
      <c r="F55" s="59" t="str">
        <f>VLOOKUP("Identification_Sample2_Text5",Hidden_Translations!$B$11:$K$1045,Hidden_Translations!$C$8,FALSE)</f>
        <v>Quantity (total or as % of production)</v>
      </c>
      <c r="G55" s="77"/>
      <c r="H55" s="78"/>
      <c r="I55" s="79"/>
      <c r="J55" s="79"/>
      <c r="K55" s="79"/>
    </row>
    <row r="56" spans="1:11" ht="30" customHeight="1">
      <c r="A56" s="75">
        <f>IF(I56="X",SUM(A$36:A55)+1,0)</f>
        <v>0</v>
      </c>
      <c r="B56" s="75">
        <f>IF(J56="X",SUM(B$36:B55)+1,0)</f>
        <v>0</v>
      </c>
      <c r="C56" s="75">
        <f>IF(K56="X",SUM(C$36:C55)+1,0)</f>
        <v>0</v>
      </c>
      <c r="D56" s="167" t="str">
        <f>VLOOKUP("Identification_Area2_Text6",Hidden_Translations!$B$11:$K$1045,Hidden_Translations!$C$8,FALSE)</f>
        <v>Reduced sewage pollution level</v>
      </c>
      <c r="E56" s="167" t="s">
        <v>21</v>
      </c>
      <c r="F56" s="59" t="str">
        <f>VLOOKUP("Identification_Sample2_Text6",Hidden_Translations!$B$11:$K$1045,Hidden_Translations!$C$8,FALSE)</f>
        <v>Composition</v>
      </c>
      <c r="G56" s="77"/>
      <c r="H56" s="78"/>
      <c r="I56" s="79"/>
      <c r="J56" s="79"/>
      <c r="K56" s="79"/>
    </row>
    <row r="57" spans="1:11" ht="30" customHeight="1">
      <c r="A57" s="75">
        <f>IF(I57="X",SUM(A$36:A56)+1,0)</f>
        <v>0</v>
      </c>
      <c r="B57" s="75">
        <f>IF(J57="X",SUM(B$36:B56)+1,0)</f>
        <v>0</v>
      </c>
      <c r="C57" s="75">
        <f>IF(K57="X",SUM(C$36:C56)+1,0)</f>
        <v>0</v>
      </c>
      <c r="D57" s="167" t="str">
        <f>VLOOKUP("Identification_Area2_Text7",Hidden_Translations!$B$11:$K$1045,Hidden_Translations!$C$8,FALSE)</f>
        <v>Reduced product waste</v>
      </c>
      <c r="E57" s="167" t="s">
        <v>21</v>
      </c>
      <c r="F57" s="59" t="str">
        <f>VLOOKUP("Identification_Sample2_Text7",Hidden_Translations!$B$11:$K$1045,Hidden_Translations!$C$8,FALSE)</f>
        <v>Quantity (total or as % of production)</v>
      </c>
      <c r="G57" s="77"/>
      <c r="H57" s="78"/>
      <c r="I57" s="79"/>
      <c r="J57" s="79"/>
      <c r="K57" s="79"/>
    </row>
    <row r="58" spans="1:11" ht="30" customHeight="1">
      <c r="A58" s="75">
        <f>IF(I58="X",SUM(A$36:A57)+1,0)</f>
        <v>0</v>
      </c>
      <c r="B58" s="75">
        <f>IF(J58="X",SUM(B$36:B57)+1,0)</f>
        <v>0</v>
      </c>
      <c r="C58" s="75">
        <f>IF(K58="X",SUM(C$36:C57)+1,0)</f>
        <v>0</v>
      </c>
      <c r="D58" s="167" t="str">
        <f>VLOOKUP("Identification_Area2_Text8",Hidden_Translations!$B$11:$K$1045,Hidden_Translations!$C$8,FALSE)</f>
        <v>Reduced other waste (e.g. non-hazardous consumables)</v>
      </c>
      <c r="E58" s="167" t="s">
        <v>21</v>
      </c>
      <c r="F58" s="59" t="str">
        <f>VLOOKUP("Identification_Sample2_Text7",Hidden_Translations!$B$11:$K$1045,Hidden_Translations!$C$8,FALSE)</f>
        <v>Quantity (total or as % of production)</v>
      </c>
      <c r="G58" s="77"/>
      <c r="H58" s="78"/>
      <c r="I58" s="79"/>
      <c r="J58" s="79"/>
      <c r="K58" s="79"/>
    </row>
    <row r="59" spans="1:11" s="17" customFormat="1" ht="15" customHeight="1">
      <c r="A59" s="75"/>
      <c r="B59" s="75"/>
      <c r="C59" s="75"/>
      <c r="G59" s="161"/>
      <c r="H59" s="161"/>
      <c r="I59" s="161"/>
      <c r="J59" s="161"/>
      <c r="K59" s="161"/>
    </row>
    <row r="60" spans="1:11" ht="15" customHeight="1">
      <c r="D60" s="90" t="str">
        <f>VLOOKUP("Identification_Area3",Hidden_Translations!$B$11:$J$129,Hidden_Translations!$C$8,FALSE)</f>
        <v>Area: Gazeous emissions</v>
      </c>
      <c r="E60" s="90"/>
      <c r="F60" s="91"/>
      <c r="G60" s="86"/>
      <c r="H60" s="85"/>
      <c r="I60" s="159"/>
      <c r="J60" s="159"/>
      <c r="K60" s="159"/>
    </row>
    <row r="61" spans="1:11" ht="30" customHeight="1">
      <c r="A61" s="75">
        <f>IF(I61="X",SUM(A$36:A60)+1,0)</f>
        <v>0</v>
      </c>
      <c r="B61" s="75">
        <f>IF(J61="X",SUM(B$36:B60)+1,0)</f>
        <v>0</v>
      </c>
      <c r="C61" s="75">
        <f>IF(K61="X",SUM(C$36:C60)+1,0)</f>
        <v>0</v>
      </c>
      <c r="D61" s="167" t="str">
        <f>VLOOKUP("Identification_Area3_Text1",Hidden_Translations!$B$11:$K$1045,Hidden_Translations!$C$8,FALSE)</f>
        <v>Reduced dust emissions</v>
      </c>
      <c r="E61" s="167" t="s">
        <v>32</v>
      </c>
      <c r="F61" s="4" t="str">
        <f>VLOOKUP("Identification_Sample3_Text",Hidden_Translations!$B$11:$K$1045,Hidden_Translations!$C$8,FALSE)</f>
        <v>Quantity (total or as % of production)</v>
      </c>
      <c r="G61" s="77"/>
      <c r="H61" s="78"/>
      <c r="I61" s="79"/>
      <c r="J61" s="79"/>
      <c r="K61" s="79"/>
    </row>
    <row r="62" spans="1:11" ht="30" customHeight="1">
      <c r="A62" s="75">
        <f>IF(I62="X",SUM(A$36:A61)+1,0)</f>
        <v>0</v>
      </c>
      <c r="B62" s="75">
        <f>IF(J62="X",SUM(B$36:B61)+1,0)</f>
        <v>0</v>
      </c>
      <c r="C62" s="75">
        <f>IF(K62="X",SUM(C$36:C61)+1,0)</f>
        <v>0</v>
      </c>
      <c r="D62" s="167" t="str">
        <f>VLOOKUP("Identification_Area3_Text2",Hidden_Translations!$B$11:$K$1045,Hidden_Translations!$C$8,FALSE)</f>
        <v>Reduced CO, CO2, NOx, SOx emissions</v>
      </c>
      <c r="E62" s="167" t="s">
        <v>32</v>
      </c>
      <c r="F62" s="59" t="str">
        <f>VLOOKUP("Identification_Sample3_Text",Hidden_Translations!$B$11:$K$1045,Hidden_Translations!$C$8,FALSE)</f>
        <v>Quantity (total or as % of production)</v>
      </c>
      <c r="G62" s="77"/>
      <c r="H62" s="78"/>
      <c r="I62" s="79"/>
      <c r="J62" s="79"/>
      <c r="K62" s="79"/>
    </row>
    <row r="63" spans="1:11" ht="30" customHeight="1">
      <c r="A63" s="75">
        <f>IF(I63="X",SUM(A$36:A62)+1,0)</f>
        <v>0</v>
      </c>
      <c r="B63" s="75">
        <f>IF(J63="X",SUM(B$36:B62)+1,0)</f>
        <v>0</v>
      </c>
      <c r="C63" s="75">
        <f>IF(K63="X",SUM(C$36:C62)+1,0)</f>
        <v>0</v>
      </c>
      <c r="D63" s="167" t="str">
        <f>VLOOKUP("Identification_Area3_Text3",Hidden_Translations!$B$11:$K$1045,Hidden_Translations!$C$8,FALSE)</f>
        <v>Reduction of fluorinated (refrigerant) gases emissions</v>
      </c>
      <c r="E63" s="167" t="s">
        <v>32</v>
      </c>
      <c r="F63" s="59" t="str">
        <f>VLOOKUP("Identification_Sample3_Text",Hidden_Translations!$B$11:$K$1045,Hidden_Translations!$C$8,FALSE)</f>
        <v>Quantity (total or as % of production)</v>
      </c>
      <c r="G63" s="77"/>
      <c r="H63" s="78"/>
      <c r="I63" s="79"/>
      <c r="J63" s="79"/>
      <c r="K63" s="79"/>
    </row>
    <row r="64" spans="1:11" s="17" customFormat="1" ht="15" customHeight="1">
      <c r="A64" s="75"/>
      <c r="B64" s="75"/>
      <c r="C64" s="75"/>
      <c r="G64" s="161"/>
      <c r="H64" s="161"/>
      <c r="I64" s="161"/>
      <c r="J64" s="161"/>
      <c r="K64" s="161"/>
    </row>
    <row r="65" spans="1:13" ht="15" customHeight="1">
      <c r="D65" s="90" t="str">
        <f>VLOOKUP("Identification_Area4",Hidden_Translations!$B$11:$J$129,Hidden_Translations!$C$8,FALSE)</f>
        <v>Area: Maintenance</v>
      </c>
      <c r="E65" s="90"/>
      <c r="F65" s="91"/>
      <c r="G65" s="86"/>
      <c r="H65" s="85"/>
      <c r="I65" s="159"/>
      <c r="J65" s="159"/>
      <c r="K65" s="159"/>
    </row>
    <row r="66" spans="1:13" ht="30" customHeight="1">
      <c r="A66" s="75">
        <f>IF(I66="X",SUM(A$36:A65)+1,0)</f>
        <v>0</v>
      </c>
      <c r="B66" s="75">
        <f>IF(J66="X",SUM(B$36:B65)+1,0)</f>
        <v>0</v>
      </c>
      <c r="C66" s="75">
        <f>IF(K66="X",SUM(C$36:C65)+1,0)</f>
        <v>0</v>
      </c>
      <c r="D66" s="167" t="str">
        <f>VLOOKUP("Identification_Area4_Text1",Hidden_Translations!$B$11:$K$1045,Hidden_Translations!$C$8,FALSE)</f>
        <v>Reduced maintenance cost</v>
      </c>
      <c r="E66" s="167" t="s">
        <v>35</v>
      </c>
      <c r="F66" s="4" t="str">
        <f>VLOOKUP("Identification_Sample4_Text1",Hidden_Translations!$B$11:$K$1045,Hidden_Translations!$C$8,FALSE)</f>
        <v>Wages (Euro/h) * reduced maintenance hours (h/y)</v>
      </c>
      <c r="G66" s="77"/>
      <c r="H66" s="78"/>
      <c r="I66" s="79"/>
      <c r="J66" s="79"/>
      <c r="K66" s="79"/>
    </row>
    <row r="67" spans="1:13" ht="45" customHeight="1">
      <c r="A67" s="75">
        <f>IF(I67="X",SUM(A$36:A66)+1,0)</f>
        <v>0</v>
      </c>
      <c r="B67" s="75">
        <f>IF(J67="X",SUM(B$36:B66)+1,0)</f>
        <v>0</v>
      </c>
      <c r="C67" s="75">
        <f>IF(K67="X",SUM(C$36:C66)+1,0)</f>
        <v>0</v>
      </c>
      <c r="D67" s="167" t="str">
        <f>VLOOKUP("Identification_Area4_Text2",Hidden_Translations!$B$11:$K$1045,Hidden_Translations!$C$8,FALSE)</f>
        <v>Reduced machinery and equipment wear and tear</v>
      </c>
      <c r="E67" s="167" t="s">
        <v>35</v>
      </c>
      <c r="F67" s="59" t="str">
        <f>VLOOKUP("Identification_Sample4_Text2",Hidden_Translations!$B$11:$K$1045,Hidden_Translations!$C$8,FALSE)</f>
        <v>Longer lifetime of equipment so reduced levelised costs machinery</v>
      </c>
      <c r="G67" s="77"/>
      <c r="H67" s="78"/>
      <c r="I67" s="79"/>
      <c r="J67" s="79"/>
      <c r="K67" s="79"/>
    </row>
    <row r="68" spans="1:13" ht="30" customHeight="1">
      <c r="A68" s="75">
        <f>IF(I68="X",SUM(A$36:A67)+1,0)</f>
        <v>0</v>
      </c>
      <c r="B68" s="75">
        <f>IF(J68="X",SUM(B$36:B67)+1,0)</f>
        <v>0</v>
      </c>
      <c r="C68" s="75">
        <f>IF(K68="X",SUM(C$36:C67)+1,0)</f>
        <v>0</v>
      </c>
      <c r="D68" s="167" t="str">
        <f>VLOOKUP("Identification_Area4_Text3",Hidden_Translations!$B$11:$K$1045,Hidden_Translations!$C$8,FALSE)</f>
        <v>Reduced engineering control cost</v>
      </c>
      <c r="E68" s="167" t="s">
        <v>35</v>
      </c>
      <c r="F68" s="59" t="str">
        <f>VLOOKUP("Identification_Sample4_Text3",Hidden_Translations!$B$11:$K$1045,Hidden_Translations!$C$8,FALSE)</f>
        <v>Technical control cost</v>
      </c>
      <c r="G68" s="77"/>
      <c r="H68" s="78"/>
      <c r="I68" s="79"/>
      <c r="J68" s="79"/>
      <c r="K68" s="79"/>
    </row>
    <row r="69" spans="1:13" s="17" customFormat="1" ht="15" customHeight="1">
      <c r="A69" s="75"/>
      <c r="B69" s="75"/>
      <c r="C69" s="75"/>
      <c r="G69" s="161"/>
      <c r="H69" s="161"/>
      <c r="I69" s="161"/>
      <c r="J69" s="161"/>
      <c r="K69" s="161"/>
    </row>
    <row r="70" spans="1:13" ht="15" customHeight="1">
      <c r="D70" s="90" t="str">
        <f>VLOOKUP("Identification_Area5",Hidden_Translations!$B$11:$J$129,Hidden_Translations!$C$8,FALSE)</f>
        <v>Area: Working environment</v>
      </c>
      <c r="E70" s="90"/>
      <c r="F70" s="91"/>
      <c r="G70" s="86"/>
      <c r="H70" s="85"/>
      <c r="I70" s="159"/>
      <c r="J70" s="159"/>
      <c r="K70" s="159"/>
    </row>
    <row r="71" spans="1:13" ht="30" customHeight="1">
      <c r="A71" s="75">
        <f>IF(I71="X",SUM(A$36:A70)+1,0)</f>
        <v>0</v>
      </c>
      <c r="B71" s="75">
        <f>IF(J71="X",SUM(B$36:B70)+1,0)</f>
        <v>0</v>
      </c>
      <c r="C71" s="75">
        <f>IF(K71="X",SUM(C$36:C70)+1,0)</f>
        <v>0</v>
      </c>
      <c r="D71" s="167" t="str">
        <f>VLOOKUP("Identification_Area5_Text1",Hidden_Translations!$B$11:$K$1045,Hidden_Translations!$C$8,FALSE)</f>
        <v>Reduced noise</v>
      </c>
      <c r="E71" s="167" t="s">
        <v>40</v>
      </c>
      <c r="F71" s="4" t="str">
        <f>VLOOKUP("Identification_Sample5_Text1",Hidden_Translations!$B$11:$K$1045,Hidden_Translations!$C$8,FALSE)</f>
        <v>Decibels* time of exposure</v>
      </c>
      <c r="G71" s="77"/>
      <c r="H71" s="78"/>
      <c r="I71" s="79"/>
      <c r="J71" s="79"/>
      <c r="K71" s="79"/>
      <c r="M71" s="15"/>
    </row>
    <row r="72" spans="1:13" ht="30" customHeight="1">
      <c r="A72" s="75">
        <f>IF(I72="X",SUM(A$36:A71)+1,0)</f>
        <v>0</v>
      </c>
      <c r="B72" s="75">
        <f>IF(J72="X",SUM(B$36:B71)+1,0)</f>
        <v>0</v>
      </c>
      <c r="C72" s="75">
        <f>IF(K72="X",SUM(C$36:C71)+1,0)</f>
        <v>0</v>
      </c>
      <c r="D72" s="167" t="str">
        <f>VLOOKUP("Identification_Area5_Text2",Hidden_Translations!$B$11:$K$1045,Hidden_Translations!$C$8,FALSE)</f>
        <v>Air quality improvement</v>
      </c>
      <c r="E72" s="167" t="s">
        <v>40</v>
      </c>
      <c r="F72" s="59" t="str">
        <f>VLOOKUP("Identification_Sample5_Text2",Hidden_Translations!$B$11:$K$1045,Hidden_Translations!$C$8,FALSE)</f>
        <v>Number of particles/m2</v>
      </c>
      <c r="G72" s="77"/>
      <c r="H72" s="78"/>
      <c r="I72" s="79"/>
      <c r="J72" s="79"/>
      <c r="K72" s="79"/>
    </row>
    <row r="73" spans="1:13" ht="30" customHeight="1">
      <c r="A73" s="75">
        <f>IF(I73="X",SUM(A$36:A72)+1,0)</f>
        <v>0</v>
      </c>
      <c r="B73" s="75">
        <f>IF(J73="X",SUM(B$36:B72)+1,0)</f>
        <v>0</v>
      </c>
      <c r="C73" s="75">
        <f>IF(K73="X",SUM(C$36:C72)+1,0)</f>
        <v>0</v>
      </c>
      <c r="D73" s="167" t="str">
        <f>VLOOKUP("Identification_Area5_Text3",Hidden_Translations!$B$11:$K$1045,Hidden_Translations!$C$8,FALSE)</f>
        <v>Improved thermal comfort</v>
      </c>
      <c r="E73" s="167" t="s">
        <v>40</v>
      </c>
      <c r="F73" s="59" t="str">
        <f>VLOOKUP("Identification_Sample5_Text3",Hidden_Translations!$B$11:$K$1045,Hidden_Translations!$C$8,FALSE)</f>
        <v>Well-being</v>
      </c>
      <c r="G73" s="77"/>
      <c r="H73" s="78"/>
      <c r="I73" s="79"/>
      <c r="J73" s="79"/>
      <c r="K73" s="79"/>
    </row>
    <row r="74" spans="1:13" ht="30" customHeight="1">
      <c r="A74" s="75">
        <f>IF(I74="X",SUM(A$36:A73)+1,0)</f>
        <v>0</v>
      </c>
      <c r="B74" s="75">
        <f>IF(J74="X",SUM(B$36:B73)+1,0)</f>
        <v>0</v>
      </c>
      <c r="C74" s="75">
        <f>IF(K74="X",SUM(C$36:C73)+1,0)</f>
        <v>0</v>
      </c>
      <c r="D74" s="167" t="str">
        <f>VLOOKUP("Identification_Area5_Text4",Hidden_Translations!$B$11:$K$1045,Hidden_Translations!$C$8,FALSE)</f>
        <v>Improved visual comfort</v>
      </c>
      <c r="E74" s="167" t="s">
        <v>40</v>
      </c>
      <c r="F74" s="59" t="str">
        <f>VLOOKUP("Identification_Sample5_Text4",Hidden_Translations!$B$11:$K$1045,Hidden_Translations!$C$8,FALSE)</f>
        <v>Well-being - productivity</v>
      </c>
      <c r="G74" s="77"/>
      <c r="H74" s="78"/>
      <c r="I74" s="79"/>
      <c r="J74" s="79"/>
      <c r="K74" s="79"/>
    </row>
    <row r="75" spans="1:13" ht="30" customHeight="1">
      <c r="A75" s="75">
        <f>IF(I75="X",SUM(A$36:A74)+1,0)</f>
        <v>0</v>
      </c>
      <c r="B75" s="75">
        <f>IF(J75="X",SUM(B$36:B74)+1,0)</f>
        <v>0</v>
      </c>
      <c r="C75" s="75">
        <f>IF(K75="X",SUM(C$36:C74)+1,0)</f>
        <v>0</v>
      </c>
      <c r="D75" s="167" t="str">
        <f>VLOOKUP("Identification_Area5_Text5",Hidden_Translations!$B$11:$K$1045,Hidden_Translations!$C$8,FALSE)</f>
        <v xml:space="preserve">Improved workforce productivity </v>
      </c>
      <c r="E75" s="167" t="s">
        <v>40</v>
      </c>
      <c r="F75" s="59" t="str">
        <f>VLOOKUP("Identification_Sample5_Text5",Hidden_Translations!$B$11:$K$1045,Hidden_Translations!$C$8,FALSE)</f>
        <v>Depend on the tasks (repetitive or not)</v>
      </c>
      <c r="G75" s="77"/>
      <c r="H75" s="78"/>
      <c r="I75" s="79"/>
      <c r="J75" s="79"/>
      <c r="K75" s="79"/>
    </row>
    <row r="76" spans="1:13" ht="30" customHeight="1">
      <c r="A76" s="75">
        <f>IF(I76="X",SUM(A$36:A75)+1,0)</f>
        <v>0</v>
      </c>
      <c r="B76" s="75">
        <f>IF(J76="X",SUM(B$36:B75)+1,0)</f>
        <v>0</v>
      </c>
      <c r="C76" s="75">
        <f>IF(K76="X",SUM(C$36:C75)+1,0)</f>
        <v>0</v>
      </c>
      <c r="D76" s="167" t="str">
        <f>VLOOKUP("Identification_Area5_Text6",Hidden_Translations!$B$11:$K$1045,Hidden_Translations!$C$8,FALSE)</f>
        <v>Reduced absenteism</v>
      </c>
      <c r="E76" s="167" t="s">
        <v>40</v>
      </c>
      <c r="F76" s="59" t="str">
        <f>VLOOKUP("Identification_Sample5_Text6",Hidden_Translations!$B$11:$K$1045,Hidden_Translations!$C$8,FALSE)</f>
        <v>Sickness absence days * cost per day</v>
      </c>
      <c r="G76" s="77"/>
      <c r="H76" s="78"/>
      <c r="I76" s="79"/>
      <c r="J76" s="79"/>
      <c r="K76" s="79"/>
    </row>
    <row r="77" spans="1:13" ht="30" customHeight="1">
      <c r="A77" s="75">
        <f>IF(I77="X",SUM(A$36:A76)+1,0)</f>
        <v>0</v>
      </c>
      <c r="B77" s="75">
        <f>IF(J77="X",SUM(B$36:B76)+1,0)</f>
        <v>0</v>
      </c>
      <c r="C77" s="75">
        <f>IF(K77="X",SUM(C$36:C76)+1,0)</f>
        <v>0</v>
      </c>
      <c r="D77" s="167" t="str">
        <f>VLOOKUP("Identification_Area5_Text7",Hidden_Translations!$B$11:$K$1045,Hidden_Translations!$C$8,FALSE)</f>
        <v>Reduction of health costs</v>
      </c>
      <c r="E77" s="167" t="s">
        <v>40</v>
      </c>
      <c r="F77" s="59" t="str">
        <f>VLOOKUP("Identification_Sample5_Text7",Hidden_Translations!$B$11:$K$1045,Hidden_Translations!$C$8,FALSE)</f>
        <v>Insurance premiums reduction</v>
      </c>
      <c r="G77" s="77"/>
      <c r="H77" s="78"/>
      <c r="I77" s="79"/>
      <c r="J77" s="79"/>
      <c r="K77" s="79"/>
    </row>
    <row r="78" spans="1:13" ht="30" customHeight="1">
      <c r="A78" s="75">
        <f>IF(I78="X",SUM(A$36:A77)+1,0)</f>
        <v>0</v>
      </c>
      <c r="B78" s="75">
        <f>IF(J78="X",SUM(B$36:B77)+1,0)</f>
        <v>0</v>
      </c>
      <c r="C78" s="75">
        <f>IF(K78="X",SUM(C$36:C77)+1,0)</f>
        <v>0</v>
      </c>
      <c r="D78" s="167" t="str">
        <f>VLOOKUP("Identification_Area5_Text8",Hidden_Translations!$B$11:$K$1045,Hidden_Translations!$C$8,FALSE)</f>
        <v>Reduced need for protective equipment</v>
      </c>
      <c r="E78" s="167" t="s">
        <v>40</v>
      </c>
      <c r="F78" s="59" t="str">
        <f>VLOOKUP("Identification_Sample5_Text8",Hidden_Translations!$B$11:$K$1045,Hidden_Translations!$C$8,FALSE)</f>
        <v>Cost of equipment</v>
      </c>
      <c r="G78" s="77"/>
      <c r="H78" s="78"/>
      <c r="I78" s="79"/>
      <c r="J78" s="79"/>
      <c r="K78" s="79"/>
    </row>
    <row r="79" spans="1:13" s="17" customFormat="1" ht="15" customHeight="1">
      <c r="A79" s="75"/>
      <c r="B79" s="75"/>
      <c r="C79" s="75"/>
      <c r="G79" s="161"/>
      <c r="H79" s="161"/>
      <c r="I79" s="161"/>
      <c r="J79" s="161"/>
      <c r="K79" s="161"/>
    </row>
    <row r="80" spans="1:13" ht="15" customHeight="1">
      <c r="D80" s="90" t="str">
        <f>VLOOKUP("Identification_Area6",Hidden_Translations!$B$11:$K$1045,Hidden_Translations!$C$8,FALSE)</f>
        <v>Area: Risk management</v>
      </c>
      <c r="E80" s="90"/>
      <c r="F80" s="91"/>
      <c r="G80" s="86"/>
      <c r="H80" s="85"/>
      <c r="I80" s="159"/>
      <c r="J80" s="159"/>
      <c r="K80" s="159"/>
    </row>
    <row r="81" spans="1:13" ht="30" customHeight="1">
      <c r="A81" s="75">
        <f>IF(I81="X",SUM(A$36:A80)+1,0)</f>
        <v>0</v>
      </c>
      <c r="B81" s="75">
        <f>IF(J81="X",SUM(B$36:B80)+1,0)</f>
        <v>0</v>
      </c>
      <c r="C81" s="75">
        <f>IF(K81="X",SUM(C$36:C80)+1,0)</f>
        <v>0</v>
      </c>
      <c r="D81" s="167" t="str">
        <f>VLOOKUP("Identification_Area6_Text1",Hidden_Translations!$B$11:$K$1045,Hidden_Translations!$C$8,FALSE)</f>
        <v>Reduced risk of accident and occupational disease</v>
      </c>
      <c r="E81" s="167" t="s">
        <v>53</v>
      </c>
      <c r="F81" s="4" t="str">
        <f>VLOOKUP("Identification_Sample6_Text1",Hidden_Translations!$B$11:$K$1045,Hidden_Translations!$C$8,FALSE)</f>
        <v>Number of accidents / year</v>
      </c>
      <c r="G81" s="77"/>
      <c r="H81" s="78"/>
      <c r="I81" s="79"/>
      <c r="J81" s="79"/>
      <c r="K81" s="79"/>
    </row>
    <row r="82" spans="1:13" ht="30" customHeight="1">
      <c r="A82" s="75">
        <f>IF(I82="X",SUM(A$36:A81)+1,0)</f>
        <v>0</v>
      </c>
      <c r="B82" s="75">
        <f>IF(J82="X",SUM(B$36:B81)+1,0)</f>
        <v>0</v>
      </c>
      <c r="C82" s="75">
        <f>IF(K82="X",SUM(C$36:C81)+1,0)</f>
        <v>0</v>
      </c>
      <c r="D82" s="167" t="str">
        <f>VLOOKUP("Identification_Area6_Text2",Hidden_Translations!$B$11:$K$1045,Hidden_Translations!$C$8,FALSE)</f>
        <v>Reduced CO2 and energy price risks</v>
      </c>
      <c r="E82" s="167" t="s">
        <v>53</v>
      </c>
      <c r="F82" s="59" t="str">
        <f>VLOOKUP("Identification_Sample6_Text2",Hidden_Translations!$B$11:$K$1045,Hidden_Translations!$C$8,FALSE)</f>
        <v>Price variability (based on ETS  or energy price forecasts)</v>
      </c>
      <c r="G82" s="77"/>
      <c r="H82" s="78"/>
      <c r="I82" s="79"/>
      <c r="J82" s="79"/>
      <c r="K82" s="79"/>
    </row>
    <row r="83" spans="1:13" ht="45" customHeight="1">
      <c r="A83" s="75">
        <f>IF(I83="X",SUM(A$36:A82)+1,0)</f>
        <v>0</v>
      </c>
      <c r="B83" s="75">
        <f>IF(J83="X",SUM(B$36:B82)+1,0)</f>
        <v>0</v>
      </c>
      <c r="C83" s="75">
        <f>IF(K83="X",SUM(C$36:C82)+1,0)</f>
        <v>0</v>
      </c>
      <c r="D83" s="167" t="str">
        <f>VLOOKUP("Identification_Area6_Text3",Hidden_Translations!$B$11:$K$1045,Hidden_Translations!$C$8,FALSE)</f>
        <v>Reduced water price risk</v>
      </c>
      <c r="E83" s="167" t="s">
        <v>53</v>
      </c>
      <c r="F83" s="59" t="str">
        <f>VLOOKUP("Identification_Sample6_Text3",Hidden_Translations!$B$11:$K$1045,Hidden_Translations!$C$8,FALSE)</f>
        <v>Uncertainty in water price or years for which water price is contractually agreed with supplier</v>
      </c>
      <c r="G83" s="77"/>
      <c r="H83" s="78"/>
      <c r="I83" s="79"/>
      <c r="J83" s="79"/>
      <c r="K83" s="79"/>
    </row>
    <row r="84" spans="1:13" ht="30" customHeight="1">
      <c r="A84" s="75">
        <f>IF(I84="X",SUM(A$36:A83)+1,0)</f>
        <v>0</v>
      </c>
      <c r="B84" s="75">
        <f>IF(J84="X",SUM(B$36:B83)+1,0)</f>
        <v>0</v>
      </c>
      <c r="C84" s="75">
        <f>IF(K84="X",SUM(C$36:C83)+1,0)</f>
        <v>0</v>
      </c>
      <c r="D84" s="167" t="str">
        <f>VLOOKUP("Identification_Area6_Text4",Hidden_Translations!$B$11:$K$1045,Hidden_Translations!$C$8,FALSE)</f>
        <v>Reduced legal risk</v>
      </c>
      <c r="E84" s="167" t="s">
        <v>53</v>
      </c>
      <c r="F84" s="59" t="str">
        <f>VLOOKUP("Identification_Sample6_Text4",Hidden_Translations!$B$11:$K$1045,Hidden_Translations!$C$8,FALSE)</f>
        <v>Number of lawsuits or legal disputes</v>
      </c>
      <c r="G84" s="77"/>
      <c r="H84" s="78"/>
      <c r="I84" s="79"/>
      <c r="J84" s="79"/>
      <c r="K84" s="79"/>
    </row>
    <row r="85" spans="1:13" ht="45" customHeight="1">
      <c r="A85" s="75">
        <f>IF(I85="X",SUM(A$36:A84)+1,0)</f>
        <v>0</v>
      </c>
      <c r="B85" s="75">
        <f>IF(J85="X",SUM(B$36:B84)+1,0)</f>
        <v>0</v>
      </c>
      <c r="C85" s="75">
        <f>IF(K85="X",SUM(C$36:C84)+1,0)</f>
        <v>0</v>
      </c>
      <c r="D85" s="167" t="str">
        <f>VLOOKUP("Identification_Area6_Text5",Hidden_Translations!$B$11:$K$1045,Hidden_Translations!$C$8,FALSE)</f>
        <v>Reduced disruption of energy supply risk</v>
      </c>
      <c r="E85" s="167" t="s">
        <v>53</v>
      </c>
      <c r="F85" s="59" t="str">
        <f>VLOOKUP("Identification_Sample6_Text5",Hidden_Translations!$B$11:$K$1045,Hidden_Translations!$C$8,FALSE)</f>
        <v>Energy supply availability rate (e.g. electricity supply disruption rate)</v>
      </c>
      <c r="G85" s="77"/>
      <c r="H85" s="78"/>
      <c r="I85" s="79"/>
      <c r="J85" s="79"/>
      <c r="K85" s="79"/>
    </row>
    <row r="86" spans="1:13" ht="30" customHeight="1">
      <c r="A86" s="75">
        <f>IF(I86="X",SUM(A$36:A85)+1,0)</f>
        <v>0</v>
      </c>
      <c r="B86" s="75">
        <f>IF(J86="X",SUM(B$36:B85)+1,0)</f>
        <v>0</v>
      </c>
      <c r="C86" s="75">
        <f>IF(K86="X",SUM(C$36:C85)+1,0)</f>
        <v>0</v>
      </c>
      <c r="D86" s="167" t="str">
        <f>VLOOKUP("Identification_Area6_Text6",Hidden_Translations!$B$11:$K$1045,Hidden_Translations!$C$8,FALSE)</f>
        <v>Reduced disruption of (other) supplies</v>
      </c>
      <c r="E86" s="167" t="s">
        <v>53</v>
      </c>
      <c r="F86" s="72" t="s">
        <v>541</v>
      </c>
      <c r="G86" s="77"/>
      <c r="H86" s="78"/>
      <c r="I86" s="79"/>
      <c r="J86" s="79"/>
      <c r="K86" s="79"/>
    </row>
    <row r="87" spans="1:13" s="17" customFormat="1" ht="15" customHeight="1">
      <c r="A87" s="75"/>
      <c r="B87" s="75"/>
      <c r="C87" s="75"/>
      <c r="G87" s="161"/>
      <c r="H87" s="161"/>
      <c r="I87" s="161"/>
      <c r="J87" s="161"/>
      <c r="K87" s="161"/>
    </row>
    <row r="88" spans="1:13" ht="15" customHeight="1">
      <c r="D88" s="90" t="str">
        <f>VLOOKUP("Identification_Area7",Hidden_Translations!$B$11:$K$1045,Hidden_Translations!$C$8,FALSE)</f>
        <v>Area: Others</v>
      </c>
      <c r="E88" s="90"/>
      <c r="F88" s="91"/>
      <c r="G88" s="86"/>
      <c r="H88" s="85"/>
      <c r="I88" s="159"/>
      <c r="J88" s="159"/>
      <c r="K88" s="159"/>
    </row>
    <row r="89" spans="1:13" ht="30" customHeight="1">
      <c r="A89" s="75">
        <f>IF(I89="X",SUM(A$36:A88)+1,0)</f>
        <v>0</v>
      </c>
      <c r="B89" s="75">
        <f>IF(J89="X",SUM(B$36:B88)+1,0)</f>
        <v>0</v>
      </c>
      <c r="C89" s="75">
        <f>IF(K89="X",SUM(C$36:C88)+1,0)</f>
        <v>0</v>
      </c>
      <c r="D89" s="167" t="str">
        <f>VLOOKUP("Identification_Area7_Text1",Hidden_Translations!$B$11:$K$1045,Hidden_Translations!$C$8,FALSE)</f>
        <v>Increased installation safety</v>
      </c>
      <c r="E89" s="167" t="s">
        <v>61</v>
      </c>
      <c r="F89" s="4" t="str">
        <f>VLOOKUP("Identification_Sample7_Text1",Hidden_Translations!$B$11:$K$1045,Hidden_Translations!$C$8,FALSE)</f>
        <v>Number of incidents per year * average costs (or other impact) per incident</v>
      </c>
      <c r="G89" s="77"/>
      <c r="H89" s="78"/>
      <c r="I89" s="79"/>
      <c r="J89" s="79"/>
      <c r="K89" s="79"/>
    </row>
    <row r="90" spans="1:13" ht="30" customHeight="1">
      <c r="A90" s="75">
        <f>IF(I90="X",SUM(A$36:A89)+1,0)</f>
        <v>0</v>
      </c>
      <c r="B90" s="75">
        <f>IF(J90="X",SUM(B$36:B89)+1,0)</f>
        <v>0</v>
      </c>
      <c r="C90" s="75">
        <f>IF(K90="X",SUM(C$36:C89)+1,0)</f>
        <v>0</v>
      </c>
      <c r="D90" s="167" t="str">
        <f>VLOOKUP("Identification_Area7_Text2",Hidden_Translations!$B$11:$K$1045,Hidden_Translations!$C$8,FALSE)</f>
        <v>Improved staff satisfaction and loyalty</v>
      </c>
      <c r="E90" s="167" t="s">
        <v>61</v>
      </c>
      <c r="F90" s="59" t="str">
        <f>VLOOKUP("Identification_Sample7_Text2",Hidden_Translations!$B$11:$K$1045,Hidden_Translations!$C$8,FALSE)</f>
        <v xml:space="preserve">Average number of years that employees work at the company </v>
      </c>
      <c r="G90" s="77"/>
      <c r="H90" s="78"/>
      <c r="I90" s="79"/>
      <c r="J90" s="79"/>
      <c r="K90" s="79"/>
    </row>
    <row r="91" spans="1:13" ht="30" customHeight="1">
      <c r="A91" s="75">
        <f>IF(I91="X",SUM(A$36:A90)+1,0)</f>
        <v>0</v>
      </c>
      <c r="B91" s="75">
        <f>IF(J91="X",SUM(B$36:B90)+1,0)</f>
        <v>0</v>
      </c>
      <c r="C91" s="75">
        <f>IF(K91="X",SUM(C$36:C90)+1,0)</f>
        <v>0</v>
      </c>
      <c r="D91" s="167" t="str">
        <f>VLOOKUP("Identification_Area7_Text3",Hidden_Translations!$B$11:$K$1045,Hidden_Translations!$C$8,FALSE)</f>
        <v>Reduced staff turnover</v>
      </c>
      <c r="E91" s="167" t="s">
        <v>61</v>
      </c>
      <c r="F91" s="59" t="str">
        <f>VLOOKUP("Identification_Sample7_Text3",Hidden_Translations!$B$11:$K$1045,Hidden_Translations!$C$8,FALSE)</f>
        <v>Employee satisfaction</v>
      </c>
      <c r="G91" s="77"/>
      <c r="H91" s="78"/>
      <c r="I91" s="79"/>
      <c r="J91" s="79"/>
      <c r="K91" s="79"/>
    </row>
    <row r="92" spans="1:13" ht="30" customHeight="1">
      <c r="A92" s="75">
        <f>IF(I92="X",SUM(A$36:A91)+1,0)</f>
        <v>0</v>
      </c>
      <c r="B92" s="75">
        <f>IF(J92="X",SUM(B$36:B91)+1,0)</f>
        <v>0</v>
      </c>
      <c r="C92" s="75">
        <f>IF(K92="X",SUM(C$36:C91)+1,0)</f>
        <v>0</v>
      </c>
      <c r="D92" s="167" t="str">
        <f>VLOOKUP("Identification_Area7_Text4",Hidden_Translations!$B$11:$K$1045,Hidden_Translations!$C$8,FALSE)</f>
        <v>Delayed or reduced capital expenditure</v>
      </c>
      <c r="E92" s="167" t="s">
        <v>61</v>
      </c>
      <c r="F92" s="59" t="str">
        <f>VLOOKUP("Identification_Sample7_Text4",Hidden_Translations!$B$11:$K$1045,Hidden_Translations!$C$8,FALSE)</f>
        <v>Cost of equipment avoided</v>
      </c>
      <c r="G92" s="77"/>
      <c r="H92" s="78"/>
      <c r="I92" s="79"/>
      <c r="J92" s="79"/>
      <c r="K92" s="79"/>
    </row>
    <row r="93" spans="1:13" ht="30" customHeight="1">
      <c r="A93" s="75">
        <f>IF(I93="X",SUM(A$36:A92)+1,0)</f>
        <v>0</v>
      </c>
      <c r="B93" s="75">
        <f>IF(J93="X",SUM(B$36:B92)+1,0)</f>
        <v>0</v>
      </c>
      <c r="C93" s="75">
        <f>IF(K93="X",SUM(C$36:C92)+1,0)</f>
        <v>0</v>
      </c>
      <c r="D93" s="167" t="str">
        <f>VLOOKUP("Identification_Area7_Text5",Hidden_Translations!$B$11:$K$1045,Hidden_Translations!$C$8,FALSE)</f>
        <v xml:space="preserve">Reduced insurance cost </v>
      </c>
      <c r="E93" s="167" t="s">
        <v>61</v>
      </c>
      <c r="F93" s="59" t="str">
        <f>VLOOKUP("Identification_Sample7_Text5",Hidden_Translations!$B$11:$K$1045,Hidden_Translations!$C$8,FALSE)</f>
        <v xml:space="preserve">Insurance cost related to risk </v>
      </c>
      <c r="G93" s="77"/>
      <c r="H93" s="78"/>
      <c r="I93" s="79"/>
      <c r="J93" s="79"/>
      <c r="K93" s="79"/>
    </row>
    <row r="94" spans="1:13" ht="30" customHeight="1">
      <c r="A94" s="75">
        <f>IF(I94="X",SUM(A$36:A93)+1,0)</f>
        <v>0</v>
      </c>
      <c r="B94" s="75">
        <f>IF(J94="X",SUM(B$36:B93)+1,0)</f>
        <v>0</v>
      </c>
      <c r="C94" s="75">
        <f>IF(K94="X",SUM(C$36:C93)+1,0)</f>
        <v>0</v>
      </c>
      <c r="D94" s="167" t="str">
        <f>VLOOKUP("Identification_Area7_Text6",Hidden_Translations!$B$11:$K$1045,Hidden_Translations!$C$8,FALSE)</f>
        <v>Additional space / Improved space utilisation</v>
      </c>
      <c r="E94" s="167" t="s">
        <v>61</v>
      </c>
      <c r="F94" s="59" t="str">
        <f>VLOOKUP("Identification_Sample7_Text6",Hidden_Translations!$B$11:$K$1045,Hidden_Translations!$C$8,FALSE)</f>
        <v>Number of m2 saved</v>
      </c>
      <c r="G94" s="77"/>
      <c r="H94" s="78"/>
      <c r="I94" s="79"/>
      <c r="J94" s="79"/>
      <c r="K94" s="79"/>
    </row>
    <row r="95" spans="1:13" ht="30" customHeight="1">
      <c r="A95" s="75">
        <f>IF(I95="X",SUM(A$36:A94)+1,0)</f>
        <v>0</v>
      </c>
      <c r="B95" s="75">
        <f>IF(J95="X",SUM(B$36:B94)+1,0)</f>
        <v>0</v>
      </c>
      <c r="C95" s="75">
        <f>IF(K95="X",SUM(C$36:C94)+1,0)</f>
        <v>0</v>
      </c>
      <c r="D95" s="167" t="str">
        <f>VLOOKUP("Identification_Area7_Text7",Hidden_Translations!$B$11:$K$1045,Hidden_Translations!$C$8,FALSE)</f>
        <v>Simplification &amp; automation of customs procedures</v>
      </c>
      <c r="E95" s="167" t="s">
        <v>61</v>
      </c>
      <c r="F95" s="59" t="str">
        <f>VLOOKUP("Identification_Sample7_Text7",Hidden_Translations!$B$11:$K$1045,Hidden_Translations!$C$8,FALSE)</f>
        <v>Number of hours spend on procedures per year * wages/h</v>
      </c>
      <c r="G95" s="77"/>
      <c r="H95" s="78"/>
      <c r="I95" s="79"/>
      <c r="J95" s="79"/>
      <c r="K95" s="79"/>
    </row>
    <row r="96" spans="1:13" ht="30" customHeight="1">
      <c r="A96" s="75">
        <f>IF(I96="X",SUM(A$36:A95)+1,0)</f>
        <v>0</v>
      </c>
      <c r="B96" s="75">
        <f>IF(J96="X",SUM(B$36:B95)+1,0)</f>
        <v>0</v>
      </c>
      <c r="C96" s="75">
        <f>IF(K96="X",SUM(C$36:C95)+1,0)</f>
        <v>0</v>
      </c>
      <c r="D96" s="167" t="str">
        <f>VLOOKUP("Identification_Area7_Text8",Hidden_Translations!$B$11:$K$1045,Hidden_Translations!$C$8,FALSE)</f>
        <v>Contribution to company's vision or strategy</v>
      </c>
      <c r="E96" s="167" t="s">
        <v>61</v>
      </c>
      <c r="F96" s="73" t="s">
        <v>541</v>
      </c>
      <c r="G96" s="77"/>
      <c r="H96" s="78"/>
      <c r="I96" s="79"/>
      <c r="J96" s="79"/>
      <c r="K96" s="79"/>
      <c r="M96" s="15"/>
    </row>
    <row r="97" spans="1:11" ht="30" customHeight="1">
      <c r="A97" s="75">
        <f>IF(I97="X",SUM(A$36:A96)+1,0)</f>
        <v>0</v>
      </c>
      <c r="B97" s="75">
        <f>IF(J97="X",SUM(B$36:B96)+1,0)</f>
        <v>0</v>
      </c>
      <c r="C97" s="75">
        <f>IF(K97="X",SUM(C$36:C96)+1,0)</f>
        <v>0</v>
      </c>
      <c r="D97" s="167" t="str">
        <f>VLOOKUP("Identification_Area7_Text9",Hidden_Translations!$B$11:$K$1045,Hidden_Translations!$C$8,FALSE)</f>
        <v>Improved image or reputation</v>
      </c>
      <c r="E97" s="167" t="s">
        <v>61</v>
      </c>
      <c r="F97" s="72" t="s">
        <v>541</v>
      </c>
      <c r="G97" s="77"/>
      <c r="H97" s="78"/>
      <c r="I97" s="79"/>
      <c r="J97" s="79"/>
      <c r="K97" s="79"/>
    </row>
    <row r="98" spans="1:11" ht="30" customHeight="1">
      <c r="A98" s="75">
        <f>IF(I98="X",SUM(A$36:A97)+1,0)</f>
        <v>0</v>
      </c>
      <c r="B98" s="75">
        <f>IF(J98="X",SUM(B$36:B97)+1,0)</f>
        <v>0</v>
      </c>
      <c r="C98" s="75">
        <f>IF(K98="X",SUM(C$36:C97)+1,0)</f>
        <v>0</v>
      </c>
      <c r="D98" s="167" t="str">
        <f>VLOOKUP("Identification_Area7_Text10",Hidden_Translations!$B$11:$K$1045,Hidden_Translations!$C$8,FALSE)</f>
        <v>Increased knowledge of production/auxiliary processes</v>
      </c>
      <c r="E98" s="167" t="s">
        <v>61</v>
      </c>
      <c r="F98" s="72" t="s">
        <v>541</v>
      </c>
      <c r="G98" s="77"/>
      <c r="H98" s="78"/>
      <c r="I98" s="79"/>
      <c r="J98" s="79"/>
      <c r="K98" s="79"/>
    </row>
    <row r="99" spans="1:11" ht="30" customHeight="1">
      <c r="A99" s="75">
        <f>IF(I99="X",SUM(A$36:A98)+1,0)</f>
        <v>0</v>
      </c>
      <c r="B99" s="75">
        <f>IF(J99="X",SUM(B$36:B98)+1,0)</f>
        <v>0</v>
      </c>
      <c r="C99" s="75">
        <f>IF(K99="X",SUM(C$36:C98)+1,0)</f>
        <v>0</v>
      </c>
      <c r="D99" s="167" t="str">
        <f>VLOOKUP("Identification_Area7_Text11",Hidden_Translations!$B$11:$K$1045,Hidden_Translations!$C$8,FALSE)</f>
        <v>Increased assets value</v>
      </c>
      <c r="E99" s="167" t="s">
        <v>61</v>
      </c>
      <c r="F99" s="59" t="str">
        <f>VLOOKUP("Identification_Sample7_Text8",Hidden_Translations!$B$11:$K$1045,Hidden_Translations!$C$8,FALSE)</f>
        <v>Assets value</v>
      </c>
      <c r="G99" s="77"/>
      <c r="H99" s="78"/>
      <c r="I99" s="79"/>
      <c r="J99" s="79"/>
      <c r="K99" s="79"/>
    </row>
    <row r="100" spans="1:11" ht="30" customHeight="1">
      <c r="A100" s="75">
        <f>IF(I100="X",SUM(A$36:A99)+1,0)</f>
        <v>0</v>
      </c>
      <c r="B100" s="75">
        <f>IF(J100="X",SUM(B$36:B99)+1,0)</f>
        <v>0</v>
      </c>
      <c r="C100" s="75">
        <f>IF(K100="X",SUM(C$36:C99)+1,0)</f>
        <v>0</v>
      </c>
      <c r="D100" s="167" t="str">
        <f>VLOOKUP("Identification_Area7_Text12",Hidden_Translations!$B$11:$K$1045,Hidden_Translations!$C$8,FALSE)</f>
        <v>Contribution to regulatory compliance/reporting</v>
      </c>
      <c r="E100" s="167" t="s">
        <v>61</v>
      </c>
      <c r="F100" s="72" t="s">
        <v>541</v>
      </c>
      <c r="G100" s="77"/>
      <c r="H100" s="78"/>
      <c r="I100" s="79"/>
      <c r="J100" s="79"/>
      <c r="K100" s="79"/>
    </row>
    <row r="101" spans="1:11" ht="45" customHeight="1">
      <c r="D101" s="16"/>
      <c r="I101" s="38"/>
      <c r="J101" s="38"/>
      <c r="K101" s="38"/>
    </row>
    <row r="102" spans="1:11" ht="18" customHeight="1">
      <c r="D102" s="16"/>
      <c r="I102" s="38"/>
      <c r="J102" s="38"/>
      <c r="K102" s="38"/>
    </row>
    <row r="103" spans="1:11">
      <c r="I103" s="38"/>
      <c r="J103" s="38"/>
      <c r="K103" s="38"/>
    </row>
    <row r="104" spans="1:11">
      <c r="I104" s="38"/>
      <c r="J104" s="38"/>
      <c r="K104" s="38"/>
    </row>
    <row r="105" spans="1:11">
      <c r="I105" s="38"/>
      <c r="J105" s="38"/>
      <c r="K105" s="38"/>
    </row>
  </sheetData>
  <sheetProtection sheet="1" selectLockedCells="1"/>
  <mergeCells count="83">
    <mergeCell ref="D78:E78"/>
    <mergeCell ref="D74:E74"/>
    <mergeCell ref="D9:I9"/>
    <mergeCell ref="D6:K6"/>
    <mergeCell ref="D10:K10"/>
    <mergeCell ref="E24:K24"/>
    <mergeCell ref="F26:K26"/>
    <mergeCell ref="D66:E66"/>
    <mergeCell ref="D67:E67"/>
    <mergeCell ref="D68:E68"/>
    <mergeCell ref="G49:K49"/>
    <mergeCell ref="G59:K59"/>
    <mergeCell ref="G64:K64"/>
    <mergeCell ref="D75:E75"/>
    <mergeCell ref="D76:E76"/>
    <mergeCell ref="D77:E77"/>
    <mergeCell ref="D85:E85"/>
    <mergeCell ref="D86:E86"/>
    <mergeCell ref="D81:E81"/>
    <mergeCell ref="D82:E82"/>
    <mergeCell ref="D83:E83"/>
    <mergeCell ref="D84:E84"/>
    <mergeCell ref="D89:E89"/>
    <mergeCell ref="D99:E99"/>
    <mergeCell ref="D93:E93"/>
    <mergeCell ref="D90:E90"/>
    <mergeCell ref="D91:E91"/>
    <mergeCell ref="D98:E98"/>
    <mergeCell ref="D92:E92"/>
    <mergeCell ref="D100:E100"/>
    <mergeCell ref="D95:E95"/>
    <mergeCell ref="D96:E96"/>
    <mergeCell ref="D97:E97"/>
    <mergeCell ref="D94:E94"/>
    <mergeCell ref="D32:E32"/>
    <mergeCell ref="D46:E46"/>
    <mergeCell ref="D48:E48"/>
    <mergeCell ref="D47:E47"/>
    <mergeCell ref="D43:E43"/>
    <mergeCell ref="D44:E44"/>
    <mergeCell ref="D45:E45"/>
    <mergeCell ref="D37:E37"/>
    <mergeCell ref="D38:E38"/>
    <mergeCell ref="D39:E39"/>
    <mergeCell ref="D40:E40"/>
    <mergeCell ref="D41:E41"/>
    <mergeCell ref="D42:E42"/>
    <mergeCell ref="D36:E36"/>
    <mergeCell ref="E22:L22"/>
    <mergeCell ref="D73:E73"/>
    <mergeCell ref="D71:E71"/>
    <mergeCell ref="D72:E72"/>
    <mergeCell ref="D62:E62"/>
    <mergeCell ref="D63:E63"/>
    <mergeCell ref="D61:E61"/>
    <mergeCell ref="D57:E57"/>
    <mergeCell ref="D56:E56"/>
    <mergeCell ref="D58:E58"/>
    <mergeCell ref="D55:E55"/>
    <mergeCell ref="D53:E53"/>
    <mergeCell ref="D52:E52"/>
    <mergeCell ref="D54:E54"/>
    <mergeCell ref="D51:E51"/>
    <mergeCell ref="I32:K32"/>
    <mergeCell ref="E20:K20"/>
    <mergeCell ref="E17:K17"/>
    <mergeCell ref="D18:K18"/>
    <mergeCell ref="F12:K12"/>
    <mergeCell ref="F13:K13"/>
    <mergeCell ref="D12:E12"/>
    <mergeCell ref="F30:K30"/>
    <mergeCell ref="F28:K28"/>
    <mergeCell ref="I88:K88"/>
    <mergeCell ref="G34:K34"/>
    <mergeCell ref="I35:K35"/>
    <mergeCell ref="G69:K69"/>
    <mergeCell ref="G79:K79"/>
    <mergeCell ref="G87:K87"/>
    <mergeCell ref="I50:K50"/>
    <mergeCell ref="I60:K60"/>
    <mergeCell ref="I70:K70"/>
    <mergeCell ref="I65:K65"/>
    <mergeCell ref="I80:K80"/>
  </mergeCells>
  <conditionalFormatting sqref="D36:D48 F36:F48">
    <cfRule type="expression" dxfId="544" priority="1205">
      <formula>MOD(ROW(),2)=0</formula>
    </cfRule>
  </conditionalFormatting>
  <conditionalFormatting sqref="I77:I78 I36:K36 I37:I45">
    <cfRule type="expression" dxfId="543" priority="932">
      <formula>OR($G36="X")</formula>
    </cfRule>
  </conditionalFormatting>
  <conditionalFormatting sqref="I77:I78 I36:K36 I37:I45">
    <cfRule type="expression" dxfId="542" priority="929">
      <formula>A$34&gt;31</formula>
    </cfRule>
  </conditionalFormatting>
  <conditionalFormatting sqref="D13:E13 D12">
    <cfRule type="expression" dxfId="541" priority="787">
      <formula>MOD(ROW(),2)=0</formula>
    </cfRule>
  </conditionalFormatting>
  <conditionalFormatting sqref="J36 J77:J78">
    <cfRule type="expression" dxfId="540" priority="1219">
      <formula>OR($I36="X",$K36="X")</formula>
    </cfRule>
  </conditionalFormatting>
  <conditionalFormatting sqref="K78 K36">
    <cfRule type="expression" dxfId="539" priority="1233">
      <formula>OR($I36="X",$J36="X")</formula>
    </cfRule>
  </conditionalFormatting>
  <conditionalFormatting sqref="H36:H45">
    <cfRule type="expression" dxfId="538" priority="925">
      <formula>$G36="X"</formula>
    </cfRule>
  </conditionalFormatting>
  <conditionalFormatting sqref="D51:D58 F51:F58">
    <cfRule type="expression" dxfId="537" priority="767">
      <formula>MOD(ROW(),2)=0</formula>
    </cfRule>
  </conditionalFormatting>
  <conditionalFormatting sqref="D61:D63 F61:F63">
    <cfRule type="expression" dxfId="536" priority="766">
      <formula>MOD(ROW(),2)=0</formula>
    </cfRule>
  </conditionalFormatting>
  <conditionalFormatting sqref="D66:D68 F66:F68">
    <cfRule type="expression" dxfId="535" priority="765">
      <formula>MOD(ROW(),2)=0</formula>
    </cfRule>
  </conditionalFormatting>
  <conditionalFormatting sqref="D71:D78 F71:F78">
    <cfRule type="expression" dxfId="534" priority="764">
      <formula>MOD(ROW(),2)=0</formula>
    </cfRule>
  </conditionalFormatting>
  <conditionalFormatting sqref="D81:D86 F81:F85">
    <cfRule type="expression" dxfId="533" priority="763">
      <formula>MOD(ROW(),2)=0</formula>
    </cfRule>
  </conditionalFormatting>
  <conditionalFormatting sqref="D89:D100 F89:F95 F99">
    <cfRule type="expression" dxfId="532" priority="762">
      <formula>MOD(ROW(),2)=0</formula>
    </cfRule>
  </conditionalFormatting>
  <conditionalFormatting sqref="H77:H78">
    <cfRule type="expression" dxfId="531" priority="732">
      <formula>$G77="X"</formula>
    </cfRule>
  </conditionalFormatting>
  <conditionalFormatting sqref="J37:K37">
    <cfRule type="expression" dxfId="530" priority="707">
      <formula>OR($G37="X")</formula>
    </cfRule>
  </conditionalFormatting>
  <conditionalFormatting sqref="J37:K37">
    <cfRule type="expression" dxfId="529" priority="706">
      <formula>B$34&gt;31</formula>
    </cfRule>
  </conditionalFormatting>
  <conditionalFormatting sqref="J37">
    <cfRule type="expression" dxfId="528" priority="708">
      <formula>#REF!&gt;31</formula>
    </cfRule>
    <cfRule type="expression" dxfId="527" priority="709">
      <formula>OR($I37="X",$K37="X")</formula>
    </cfRule>
  </conditionalFormatting>
  <conditionalFormatting sqref="K37">
    <cfRule type="expression" dxfId="526" priority="710">
      <formula>#REF!&gt;31</formula>
    </cfRule>
    <cfRule type="expression" dxfId="525" priority="711">
      <formula>OR($I37="X",$J37="X")</formula>
    </cfRule>
  </conditionalFormatting>
  <conditionalFormatting sqref="J38:K38">
    <cfRule type="expression" dxfId="524" priority="697">
      <formula>OR($G38="X")</formula>
    </cfRule>
  </conditionalFormatting>
  <conditionalFormatting sqref="J38:K38">
    <cfRule type="expression" dxfId="523" priority="696">
      <formula>B$34&gt;31</formula>
    </cfRule>
  </conditionalFormatting>
  <conditionalFormatting sqref="J38">
    <cfRule type="expression" dxfId="522" priority="698">
      <formula>#REF!&gt;31</formula>
    </cfRule>
    <cfRule type="expression" dxfId="521" priority="699">
      <formula>OR($I38="X",$K38="X")</formula>
    </cfRule>
  </conditionalFormatting>
  <conditionalFormatting sqref="K38">
    <cfRule type="expression" dxfId="520" priority="700">
      <formula>#REF!&gt;31</formula>
    </cfRule>
    <cfRule type="expression" dxfId="519" priority="701">
      <formula>OR($I38="X",$J38="X")</formula>
    </cfRule>
  </conditionalFormatting>
  <conditionalFormatting sqref="J39:K39">
    <cfRule type="expression" dxfId="518" priority="687">
      <formula>OR($G39="X")</formula>
    </cfRule>
  </conditionalFormatting>
  <conditionalFormatting sqref="J39:K39">
    <cfRule type="expression" dxfId="517" priority="686">
      <formula>B$34&gt;31</formula>
    </cfRule>
  </conditionalFormatting>
  <conditionalFormatting sqref="J39">
    <cfRule type="expression" dxfId="516" priority="688">
      <formula>#REF!&gt;31</formula>
    </cfRule>
    <cfRule type="expression" dxfId="515" priority="689">
      <formula>OR($I39="X",$K39="X")</formula>
    </cfRule>
  </conditionalFormatting>
  <conditionalFormatting sqref="K39">
    <cfRule type="expression" dxfId="514" priority="690">
      <formula>#REF!&gt;31</formula>
    </cfRule>
    <cfRule type="expression" dxfId="513" priority="691">
      <formula>OR($I39="X",$J39="X")</formula>
    </cfRule>
  </conditionalFormatting>
  <conditionalFormatting sqref="J40:K40">
    <cfRule type="expression" dxfId="512" priority="677">
      <formula>OR($G40="X")</formula>
    </cfRule>
  </conditionalFormatting>
  <conditionalFormatting sqref="J40:K40">
    <cfRule type="expression" dxfId="511" priority="676">
      <formula>B$34&gt;31</formula>
    </cfRule>
  </conditionalFormatting>
  <conditionalFormatting sqref="J40">
    <cfRule type="expression" dxfId="510" priority="678">
      <formula>#REF!&gt;31</formula>
    </cfRule>
    <cfRule type="expression" dxfId="509" priority="679">
      <formula>OR($I40="X",$K40="X")</formula>
    </cfRule>
  </conditionalFormatting>
  <conditionalFormatting sqref="K40">
    <cfRule type="expression" dxfId="508" priority="680">
      <formula>#REF!&gt;31</formula>
    </cfRule>
    <cfRule type="expression" dxfId="507" priority="681">
      <formula>OR($I40="X",$J40="X")</formula>
    </cfRule>
  </conditionalFormatting>
  <conditionalFormatting sqref="J41:K41">
    <cfRule type="expression" dxfId="506" priority="667">
      <formula>OR($G41="X")</formula>
    </cfRule>
  </conditionalFormatting>
  <conditionalFormatting sqref="J41:K41">
    <cfRule type="expression" dxfId="505" priority="666">
      <formula>B$34&gt;31</formula>
    </cfRule>
  </conditionalFormatting>
  <conditionalFormatting sqref="J41">
    <cfRule type="expression" dxfId="504" priority="668">
      <formula>#REF!&gt;31</formula>
    </cfRule>
    <cfRule type="expression" dxfId="503" priority="669">
      <formula>OR($I41="X",$K41="X")</formula>
    </cfRule>
  </conditionalFormatting>
  <conditionalFormatting sqref="K41">
    <cfRule type="expression" dxfId="502" priority="670">
      <formula>#REF!&gt;31</formula>
    </cfRule>
    <cfRule type="expression" dxfId="501" priority="671">
      <formula>OR($I41="X",$J41="X")</formula>
    </cfRule>
  </conditionalFormatting>
  <conditionalFormatting sqref="J42:K42">
    <cfRule type="expression" dxfId="500" priority="657">
      <formula>OR($G42="X")</formula>
    </cfRule>
  </conditionalFormatting>
  <conditionalFormatting sqref="J42:K42">
    <cfRule type="expression" dxfId="499" priority="656">
      <formula>B$34&gt;31</formula>
    </cfRule>
  </conditionalFormatting>
  <conditionalFormatting sqref="J42">
    <cfRule type="expression" dxfId="498" priority="658">
      <formula>#REF!&gt;31</formula>
    </cfRule>
    <cfRule type="expression" dxfId="497" priority="659">
      <formula>OR($I42="X",$K42="X")</formula>
    </cfRule>
  </conditionalFormatting>
  <conditionalFormatting sqref="K42">
    <cfRule type="expression" dxfId="496" priority="660">
      <formula>#REF!&gt;31</formula>
    </cfRule>
    <cfRule type="expression" dxfId="495" priority="661">
      <formula>OR($I42="X",$J42="X")</formula>
    </cfRule>
  </conditionalFormatting>
  <conditionalFormatting sqref="J43:K43">
    <cfRule type="expression" dxfId="494" priority="647">
      <formula>OR($G43="X")</formula>
    </cfRule>
  </conditionalFormatting>
  <conditionalFormatting sqref="J43:K43">
    <cfRule type="expression" dxfId="493" priority="646">
      <formula>B$34&gt;31</formula>
    </cfRule>
  </conditionalFormatting>
  <conditionalFormatting sqref="J43">
    <cfRule type="expression" dxfId="492" priority="648">
      <formula>#REF!&gt;31</formula>
    </cfRule>
    <cfRule type="expression" dxfId="491" priority="649">
      <formula>OR($I43="X",$K43="X")</formula>
    </cfRule>
  </conditionalFormatting>
  <conditionalFormatting sqref="K43">
    <cfRule type="expression" dxfId="490" priority="650">
      <formula>#REF!&gt;31</formula>
    </cfRule>
    <cfRule type="expression" dxfId="489" priority="651">
      <formula>OR($I43="X",$J43="X")</formula>
    </cfRule>
  </conditionalFormatting>
  <conditionalFormatting sqref="J44:K44">
    <cfRule type="expression" dxfId="488" priority="637">
      <formula>OR($G44="X")</formula>
    </cfRule>
  </conditionalFormatting>
  <conditionalFormatting sqref="J44:K44">
    <cfRule type="expression" dxfId="487" priority="636">
      <formula>B$34&gt;31</formula>
    </cfRule>
  </conditionalFormatting>
  <conditionalFormatting sqref="J44">
    <cfRule type="expression" dxfId="486" priority="638">
      <formula>#REF!&gt;31</formula>
    </cfRule>
    <cfRule type="expression" dxfId="485" priority="639">
      <formula>OR($I44="X",$K44="X")</formula>
    </cfRule>
  </conditionalFormatting>
  <conditionalFormatting sqref="K44">
    <cfRule type="expression" dxfId="484" priority="640">
      <formula>#REF!&gt;31</formula>
    </cfRule>
    <cfRule type="expression" dxfId="483" priority="641">
      <formula>OR($I44="X",$J44="X")</formula>
    </cfRule>
  </conditionalFormatting>
  <conditionalFormatting sqref="J45:K45">
    <cfRule type="expression" dxfId="482" priority="627">
      <formula>OR($G45="X")</formula>
    </cfRule>
  </conditionalFormatting>
  <conditionalFormatting sqref="J45:K45">
    <cfRule type="expression" dxfId="481" priority="626">
      <formula>B$34&gt;31</formula>
    </cfRule>
  </conditionalFormatting>
  <conditionalFormatting sqref="J45">
    <cfRule type="expression" dxfId="480" priority="628">
      <formula>#REF!&gt;31</formula>
    </cfRule>
    <cfRule type="expression" dxfId="479" priority="629">
      <formula>OR($I45="X",$K45="X")</formula>
    </cfRule>
  </conditionalFormatting>
  <conditionalFormatting sqref="K45">
    <cfRule type="expression" dxfId="478" priority="630">
      <formula>#REF!&gt;31</formula>
    </cfRule>
    <cfRule type="expression" dxfId="477" priority="631">
      <formula>OR($I45="X",$J45="X")</formula>
    </cfRule>
  </conditionalFormatting>
  <conditionalFormatting sqref="I46:K46">
    <cfRule type="expression" dxfId="476" priority="617">
      <formula>OR($G46="X")</formula>
    </cfRule>
  </conditionalFormatting>
  <conditionalFormatting sqref="I46:K46">
    <cfRule type="expression" dxfId="475" priority="616">
      <formula>A$34&gt;31</formula>
    </cfRule>
  </conditionalFormatting>
  <conditionalFormatting sqref="J46">
    <cfRule type="expression" dxfId="474" priority="618">
      <formula>#REF!&gt;31</formula>
    </cfRule>
    <cfRule type="expression" dxfId="473" priority="619">
      <formula>OR($I46="X",$K46="X")</formula>
    </cfRule>
  </conditionalFormatting>
  <conditionalFormatting sqref="K46">
    <cfRule type="expression" dxfId="472" priority="620">
      <formula>#REF!&gt;31</formula>
    </cfRule>
    <cfRule type="expression" dxfId="471" priority="621">
      <formula>OR($I46="X",$J46="X")</formula>
    </cfRule>
  </conditionalFormatting>
  <conditionalFormatting sqref="H46">
    <cfRule type="expression" dxfId="470" priority="615">
      <formula>$G46="X"</formula>
    </cfRule>
  </conditionalFormatting>
  <conditionalFormatting sqref="I97:K105">
    <cfRule type="expression" dxfId="469" priority="13">
      <formula>OR($G97="X")</formula>
    </cfRule>
  </conditionalFormatting>
  <conditionalFormatting sqref="J97:J105">
    <cfRule type="expression" dxfId="468" priority="14">
      <formula>#REF!&gt;31</formula>
    </cfRule>
    <cfRule type="expression" dxfId="467" priority="15">
      <formula>OR($I97="X",$K97="X")</formula>
    </cfRule>
  </conditionalFormatting>
  <conditionalFormatting sqref="K97:K105">
    <cfRule type="expression" dxfId="466" priority="16">
      <formula>#REF!&gt;31</formula>
    </cfRule>
    <cfRule type="expression" dxfId="465" priority="17">
      <formula>OR($I97="X",$J97="X")</formula>
    </cfRule>
  </conditionalFormatting>
  <conditionalFormatting sqref="H97:H100">
    <cfRule type="expression" dxfId="464" priority="11">
      <formula>$G97="X"</formula>
    </cfRule>
  </conditionalFormatting>
  <conditionalFormatting sqref="I47:K47">
    <cfRule type="expression" dxfId="463" priority="597">
      <formula>OR($G47="X")</formula>
    </cfRule>
  </conditionalFormatting>
  <conditionalFormatting sqref="I47:K47">
    <cfRule type="expression" dxfId="462" priority="596">
      <formula>A$34&gt;31</formula>
    </cfRule>
  </conditionalFormatting>
  <conditionalFormatting sqref="J47">
    <cfRule type="expression" dxfId="461" priority="598">
      <formula>#REF!&gt;31</formula>
    </cfRule>
    <cfRule type="expression" dxfId="460" priority="599">
      <formula>OR($I47="X",$K47="X")</formula>
    </cfRule>
  </conditionalFormatting>
  <conditionalFormatting sqref="K47">
    <cfRule type="expression" dxfId="459" priority="600">
      <formula>#REF!&gt;31</formula>
    </cfRule>
    <cfRule type="expression" dxfId="458" priority="601">
      <formula>OR($I47="X",$J47="X")</formula>
    </cfRule>
  </conditionalFormatting>
  <conditionalFormatting sqref="H47">
    <cfRule type="expression" dxfId="457" priority="595">
      <formula>$G47="X"</formula>
    </cfRule>
  </conditionalFormatting>
  <conditionalFormatting sqref="I48:K48">
    <cfRule type="expression" dxfId="456" priority="587">
      <formula>OR($G48="X")</formula>
    </cfRule>
  </conditionalFormatting>
  <conditionalFormatting sqref="I48:K48">
    <cfRule type="expression" dxfId="455" priority="586">
      <formula>A$34&gt;31</formula>
    </cfRule>
  </conditionalFormatting>
  <conditionalFormatting sqref="J48">
    <cfRule type="expression" dxfId="454" priority="588">
      <formula>#REF!&gt;31</formula>
    </cfRule>
    <cfRule type="expression" dxfId="453" priority="589">
      <formula>OR($I48="X",$K48="X")</formula>
    </cfRule>
  </conditionalFormatting>
  <conditionalFormatting sqref="K48">
    <cfRule type="expression" dxfId="452" priority="590">
      <formula>#REF!&gt;31</formula>
    </cfRule>
    <cfRule type="expression" dxfId="451" priority="591">
      <formula>OR($I48="X",$J48="X")</formula>
    </cfRule>
  </conditionalFormatting>
  <conditionalFormatting sqref="H48">
    <cfRule type="expression" dxfId="450" priority="585">
      <formula>$G48="X"</formula>
    </cfRule>
  </conditionalFormatting>
  <conditionalFormatting sqref="I51:K51 J52:J58">
    <cfRule type="expression" dxfId="449" priority="487">
      <formula>OR($G51="X")</formula>
    </cfRule>
  </conditionalFormatting>
  <conditionalFormatting sqref="I51:K51 J52:J58">
    <cfRule type="expression" dxfId="448" priority="486">
      <formula>A$34&gt;31</formula>
    </cfRule>
  </conditionalFormatting>
  <conditionalFormatting sqref="J51:J58">
    <cfRule type="expression" dxfId="447" priority="488">
      <formula>#REF!&gt;31</formula>
    </cfRule>
    <cfRule type="expression" dxfId="446" priority="489">
      <formula>OR($I51="X",$K51="X")</formula>
    </cfRule>
  </conditionalFormatting>
  <conditionalFormatting sqref="K51">
    <cfRule type="expression" dxfId="445" priority="490">
      <formula>#REF!&gt;31</formula>
    </cfRule>
    <cfRule type="expression" dxfId="444" priority="491">
      <formula>OR($I51="X",$J51="X")</formula>
    </cfRule>
  </conditionalFormatting>
  <conditionalFormatting sqref="H51">
    <cfRule type="expression" dxfId="443" priority="485">
      <formula>$G51="X"</formula>
    </cfRule>
  </conditionalFormatting>
  <conditionalFormatting sqref="I52:I58 K52:K58">
    <cfRule type="expression" dxfId="442" priority="467">
      <formula>OR($G52="X")</formula>
    </cfRule>
  </conditionalFormatting>
  <conditionalFormatting sqref="I52:I58 K52:K58">
    <cfRule type="expression" dxfId="441" priority="466">
      <formula>A$34&gt;31</formula>
    </cfRule>
  </conditionalFormatting>
  <conditionalFormatting sqref="K52:K58">
    <cfRule type="expression" dxfId="440" priority="470">
      <formula>#REF!&gt;31</formula>
    </cfRule>
    <cfRule type="expression" dxfId="439" priority="471">
      <formula>OR($I52="X",$J52="X")</formula>
    </cfRule>
  </conditionalFormatting>
  <conditionalFormatting sqref="H52:H58">
    <cfRule type="expression" dxfId="438" priority="465">
      <formula>$G52="X"</formula>
    </cfRule>
  </conditionalFormatting>
  <conditionalFormatting sqref="I61:K63">
    <cfRule type="expression" dxfId="437" priority="457">
      <formula>OR($G61="X")</formula>
    </cfRule>
  </conditionalFormatting>
  <conditionalFormatting sqref="I61:K63">
    <cfRule type="expression" dxfId="436" priority="456">
      <formula>A$34&gt;31</formula>
    </cfRule>
  </conditionalFormatting>
  <conditionalFormatting sqref="J61:J63">
    <cfRule type="expression" dxfId="435" priority="458">
      <formula>#REF!&gt;31</formula>
    </cfRule>
    <cfRule type="expression" dxfId="434" priority="459">
      <formula>OR($I61="X",$K61="X")</formula>
    </cfRule>
  </conditionalFormatting>
  <conditionalFormatting sqref="K61:K63">
    <cfRule type="expression" dxfId="433" priority="460">
      <formula>#REF!&gt;31</formula>
    </cfRule>
    <cfRule type="expression" dxfId="432" priority="461">
      <formula>OR($I61="X",$J61="X")</formula>
    </cfRule>
  </conditionalFormatting>
  <conditionalFormatting sqref="H61:H63">
    <cfRule type="expression" dxfId="431" priority="455">
      <formula>$G61="X"</formula>
    </cfRule>
  </conditionalFormatting>
  <conditionalFormatting sqref="I66:K68">
    <cfRule type="expression" dxfId="430" priority="447">
      <formula>OR($G66="X")</formula>
    </cfRule>
  </conditionalFormatting>
  <conditionalFormatting sqref="I66:K68">
    <cfRule type="expression" dxfId="429" priority="446">
      <formula>A$34&gt;31</formula>
    </cfRule>
  </conditionalFormatting>
  <conditionalFormatting sqref="J66:J68">
    <cfRule type="expression" dxfId="428" priority="448">
      <formula>#REF!&gt;31</formula>
    </cfRule>
    <cfRule type="expression" dxfId="427" priority="449">
      <formula>OR($I66="X",$K66="X")</formula>
    </cfRule>
  </conditionalFormatting>
  <conditionalFormatting sqref="K66:K68">
    <cfRule type="expression" dxfId="426" priority="450">
      <formula>#REF!&gt;31</formula>
    </cfRule>
    <cfRule type="expression" dxfId="425" priority="451">
      <formula>OR($I66="X",$J66="X")</formula>
    </cfRule>
  </conditionalFormatting>
  <conditionalFormatting sqref="H66:H68">
    <cfRule type="expression" dxfId="424" priority="445">
      <formula>$G66="X"</formula>
    </cfRule>
  </conditionalFormatting>
  <conditionalFormatting sqref="I71:K71 I72:J73 K72:K77">
    <cfRule type="expression" dxfId="423" priority="437">
      <formula>OR($G71="X")</formula>
    </cfRule>
  </conditionalFormatting>
  <conditionalFormatting sqref="I71:K71 I72:J73 K72:K77">
    <cfRule type="expression" dxfId="422" priority="436">
      <formula>A$34&gt;31</formula>
    </cfRule>
  </conditionalFormatting>
  <conditionalFormatting sqref="J71:J73">
    <cfRule type="expression" dxfId="421" priority="438">
      <formula>#REF!&gt;31</formula>
    </cfRule>
    <cfRule type="expression" dxfId="420" priority="439">
      <formula>OR($I71="X",$K71="X")</formula>
    </cfRule>
  </conditionalFormatting>
  <conditionalFormatting sqref="K71:K77">
    <cfRule type="expression" dxfId="419" priority="440">
      <formula>#REF!&gt;31</formula>
    </cfRule>
    <cfRule type="expression" dxfId="418" priority="441">
      <formula>OR($I71="X",$J71="X")</formula>
    </cfRule>
  </conditionalFormatting>
  <conditionalFormatting sqref="H71:H73">
    <cfRule type="expression" dxfId="417" priority="435">
      <formula>$G71="X"</formula>
    </cfRule>
  </conditionalFormatting>
  <conditionalFormatting sqref="I78:K78 I74:J77">
    <cfRule type="expression" dxfId="416" priority="427">
      <formula>OR($G74="X")</formula>
    </cfRule>
  </conditionalFormatting>
  <conditionalFormatting sqref="I78:K78 I74:J77">
    <cfRule type="expression" dxfId="415" priority="426">
      <formula>A$34&gt;31</formula>
    </cfRule>
  </conditionalFormatting>
  <conditionalFormatting sqref="J74:J78">
    <cfRule type="expression" dxfId="414" priority="428">
      <formula>#REF!&gt;31</formula>
    </cfRule>
    <cfRule type="expression" dxfId="413" priority="429">
      <formula>OR($I74="X",$K74="X")</formula>
    </cfRule>
  </conditionalFormatting>
  <conditionalFormatting sqref="K78">
    <cfRule type="expression" dxfId="412" priority="430">
      <formula>#REF!&gt;31</formula>
    </cfRule>
    <cfRule type="expression" dxfId="411" priority="431">
      <formula>OR($I78="X",$J78="X")</formula>
    </cfRule>
  </conditionalFormatting>
  <conditionalFormatting sqref="H74:H78">
    <cfRule type="expression" dxfId="410" priority="425">
      <formula>$G74="X"</formula>
    </cfRule>
  </conditionalFormatting>
  <conditionalFormatting sqref="I81">
    <cfRule type="expression" dxfId="409" priority="417">
      <formula>OR($G81="X")</formula>
    </cfRule>
  </conditionalFormatting>
  <conditionalFormatting sqref="I81">
    <cfRule type="expression" dxfId="408" priority="416">
      <formula>A$34&gt;31</formula>
    </cfRule>
  </conditionalFormatting>
  <conditionalFormatting sqref="J81">
    <cfRule type="expression" dxfId="407" priority="418">
      <formula>#REF!&gt;31</formula>
    </cfRule>
    <cfRule type="expression" dxfId="406" priority="419">
      <formula>OR($I81="X",$K81="X")</formula>
    </cfRule>
  </conditionalFormatting>
  <conditionalFormatting sqref="K81">
    <cfRule type="expression" dxfId="405" priority="420">
      <formula>#REF!&gt;31</formula>
    </cfRule>
    <cfRule type="expression" dxfId="404" priority="421">
      <formula>OR($I81="X",$J81="X")</formula>
    </cfRule>
  </conditionalFormatting>
  <conditionalFormatting sqref="H81">
    <cfRule type="expression" dxfId="403" priority="415">
      <formula>$G81="X"</formula>
    </cfRule>
  </conditionalFormatting>
  <conditionalFormatting sqref="I81:K81">
    <cfRule type="expression" dxfId="402" priority="404">
      <formula>OR($G81="X")</formula>
    </cfRule>
  </conditionalFormatting>
  <conditionalFormatting sqref="I81:K81">
    <cfRule type="expression" dxfId="401" priority="403">
      <formula>A$34&gt;31</formula>
    </cfRule>
  </conditionalFormatting>
  <conditionalFormatting sqref="J81">
    <cfRule type="expression" dxfId="400" priority="405">
      <formula>#REF!&gt;31</formula>
    </cfRule>
    <cfRule type="expression" dxfId="399" priority="406">
      <formula>OR($I81="X",$K81="X")</formula>
    </cfRule>
  </conditionalFormatting>
  <conditionalFormatting sqref="K81">
    <cfRule type="expression" dxfId="398" priority="407">
      <formula>#REF!&gt;31</formula>
    </cfRule>
    <cfRule type="expression" dxfId="397" priority="408">
      <formula>OR($I81="X",$J81="X")</formula>
    </cfRule>
  </conditionalFormatting>
  <conditionalFormatting sqref="H81">
    <cfRule type="expression" dxfId="396" priority="402">
      <formula>$G81="X"</formula>
    </cfRule>
  </conditionalFormatting>
  <conditionalFormatting sqref="I82">
    <cfRule type="expression" dxfId="395" priority="394">
      <formula>OR($G82="X")</formula>
    </cfRule>
  </conditionalFormatting>
  <conditionalFormatting sqref="I82">
    <cfRule type="expression" dxfId="394" priority="393">
      <formula>A$34&gt;31</formula>
    </cfRule>
  </conditionalFormatting>
  <conditionalFormatting sqref="J82">
    <cfRule type="expression" dxfId="393" priority="395">
      <formula>#REF!&gt;31</formula>
    </cfRule>
    <cfRule type="expression" dxfId="392" priority="396">
      <formula>OR($I82="X",$K82="X")</formula>
    </cfRule>
  </conditionalFormatting>
  <conditionalFormatting sqref="K82">
    <cfRule type="expression" dxfId="391" priority="397">
      <formula>#REF!&gt;31</formula>
    </cfRule>
    <cfRule type="expression" dxfId="390" priority="398">
      <formula>OR($I82="X",$J82="X")</formula>
    </cfRule>
  </conditionalFormatting>
  <conditionalFormatting sqref="H82">
    <cfRule type="expression" dxfId="389" priority="392">
      <formula>$G82="X"</formula>
    </cfRule>
  </conditionalFormatting>
  <conditionalFormatting sqref="I82:K82">
    <cfRule type="expression" dxfId="388" priority="381">
      <formula>OR($G82="X")</formula>
    </cfRule>
  </conditionalFormatting>
  <conditionalFormatting sqref="I82:K82">
    <cfRule type="expression" dxfId="387" priority="380">
      <formula>A$34&gt;31</formula>
    </cfRule>
  </conditionalFormatting>
  <conditionalFormatting sqref="J82">
    <cfRule type="expression" dxfId="386" priority="382">
      <formula>#REF!&gt;31</formula>
    </cfRule>
    <cfRule type="expression" dxfId="385" priority="383">
      <formula>OR($I82="X",$K82="X")</formula>
    </cfRule>
  </conditionalFormatting>
  <conditionalFormatting sqref="K82">
    <cfRule type="expression" dxfId="384" priority="384">
      <formula>#REF!&gt;31</formula>
    </cfRule>
    <cfRule type="expression" dxfId="383" priority="385">
      <formula>OR($I82="X",$J82="X")</formula>
    </cfRule>
  </conditionalFormatting>
  <conditionalFormatting sqref="H82">
    <cfRule type="expression" dxfId="382" priority="379">
      <formula>$G82="X"</formula>
    </cfRule>
  </conditionalFormatting>
  <conditionalFormatting sqref="I83">
    <cfRule type="expression" dxfId="381" priority="371">
      <formula>OR($G83="X")</formula>
    </cfRule>
  </conditionalFormatting>
  <conditionalFormatting sqref="I83">
    <cfRule type="expression" dxfId="380" priority="370">
      <formula>A$34&gt;31</formula>
    </cfRule>
  </conditionalFormatting>
  <conditionalFormatting sqref="J83">
    <cfRule type="expression" dxfId="379" priority="372">
      <formula>#REF!&gt;31</formula>
    </cfRule>
    <cfRule type="expression" dxfId="378" priority="373">
      <formula>OR($I83="X",$K83="X")</formula>
    </cfRule>
  </conditionalFormatting>
  <conditionalFormatting sqref="K83">
    <cfRule type="expression" dxfId="377" priority="374">
      <formula>#REF!&gt;31</formula>
    </cfRule>
    <cfRule type="expression" dxfId="376" priority="375">
      <formula>OR($I83="X",$J83="X")</formula>
    </cfRule>
  </conditionalFormatting>
  <conditionalFormatting sqref="H83">
    <cfRule type="expression" dxfId="375" priority="369">
      <formula>$G83="X"</formula>
    </cfRule>
  </conditionalFormatting>
  <conditionalFormatting sqref="I83:K83">
    <cfRule type="expression" dxfId="374" priority="358">
      <formula>OR($G83="X")</formula>
    </cfRule>
  </conditionalFormatting>
  <conditionalFormatting sqref="I83:K83">
    <cfRule type="expression" dxfId="373" priority="357">
      <formula>A$34&gt;31</formula>
    </cfRule>
  </conditionalFormatting>
  <conditionalFormatting sqref="J83">
    <cfRule type="expression" dxfId="372" priority="359">
      <formula>#REF!&gt;31</formula>
    </cfRule>
    <cfRule type="expression" dxfId="371" priority="360">
      <formula>OR($I83="X",$K83="X")</formula>
    </cfRule>
  </conditionalFormatting>
  <conditionalFormatting sqref="K83">
    <cfRule type="expression" dxfId="370" priority="361">
      <formula>#REF!&gt;31</formula>
    </cfRule>
    <cfRule type="expression" dxfId="369" priority="362">
      <formula>OR($I83="X",$J83="X")</formula>
    </cfRule>
  </conditionalFormatting>
  <conditionalFormatting sqref="H83">
    <cfRule type="expression" dxfId="368" priority="356">
      <formula>$G83="X"</formula>
    </cfRule>
  </conditionalFormatting>
  <conditionalFormatting sqref="I84">
    <cfRule type="expression" dxfId="367" priority="348">
      <formula>OR($G84="X")</formula>
    </cfRule>
  </conditionalFormatting>
  <conditionalFormatting sqref="I84">
    <cfRule type="expression" dxfId="366" priority="347">
      <formula>A$34&gt;31</formula>
    </cfRule>
  </conditionalFormatting>
  <conditionalFormatting sqref="J84">
    <cfRule type="expression" dxfId="365" priority="349">
      <formula>#REF!&gt;31</formula>
    </cfRule>
    <cfRule type="expression" dxfId="364" priority="350">
      <formula>OR($I84="X",$K84="X")</formula>
    </cfRule>
  </conditionalFormatting>
  <conditionalFormatting sqref="K84">
    <cfRule type="expression" dxfId="363" priority="351">
      <formula>#REF!&gt;31</formula>
    </cfRule>
    <cfRule type="expression" dxfId="362" priority="352">
      <formula>OR($I84="X",$J84="X")</formula>
    </cfRule>
  </conditionalFormatting>
  <conditionalFormatting sqref="H84">
    <cfRule type="expression" dxfId="361" priority="346">
      <formula>$G84="X"</formula>
    </cfRule>
  </conditionalFormatting>
  <conditionalFormatting sqref="I84:K84">
    <cfRule type="expression" dxfId="360" priority="335">
      <formula>OR($G84="X")</formula>
    </cfRule>
  </conditionalFormatting>
  <conditionalFormatting sqref="I84:K84">
    <cfRule type="expression" dxfId="359" priority="334">
      <formula>A$34&gt;31</formula>
    </cfRule>
  </conditionalFormatting>
  <conditionalFormatting sqref="J84">
    <cfRule type="expression" dxfId="358" priority="336">
      <formula>#REF!&gt;31</formula>
    </cfRule>
    <cfRule type="expression" dxfId="357" priority="337">
      <formula>OR($I84="X",$K84="X")</formula>
    </cfRule>
  </conditionalFormatting>
  <conditionalFormatting sqref="K84">
    <cfRule type="expression" dxfId="356" priority="338">
      <formula>#REF!&gt;31</formula>
    </cfRule>
    <cfRule type="expression" dxfId="355" priority="339">
      <formula>OR($I84="X",$J84="X")</formula>
    </cfRule>
  </conditionalFormatting>
  <conditionalFormatting sqref="H84">
    <cfRule type="expression" dxfId="354" priority="333">
      <formula>$G84="X"</formula>
    </cfRule>
  </conditionalFormatting>
  <conditionalFormatting sqref="I85">
    <cfRule type="expression" dxfId="353" priority="325">
      <formula>OR($G85="X")</formula>
    </cfRule>
  </conditionalFormatting>
  <conditionalFormatting sqref="I85">
    <cfRule type="expression" dxfId="352" priority="324">
      <formula>A$34&gt;31</formula>
    </cfRule>
  </conditionalFormatting>
  <conditionalFormatting sqref="J85">
    <cfRule type="expression" dxfId="351" priority="326">
      <formula>#REF!&gt;31</formula>
    </cfRule>
    <cfRule type="expression" dxfId="350" priority="327">
      <formula>OR($I85="X",$K85="X")</formula>
    </cfRule>
  </conditionalFormatting>
  <conditionalFormatting sqref="K85">
    <cfRule type="expression" dxfId="349" priority="328">
      <formula>#REF!&gt;31</formula>
    </cfRule>
    <cfRule type="expression" dxfId="348" priority="329">
      <formula>OR($I85="X",$J85="X")</formula>
    </cfRule>
  </conditionalFormatting>
  <conditionalFormatting sqref="H85">
    <cfRule type="expression" dxfId="347" priority="323">
      <formula>$G85="X"</formula>
    </cfRule>
  </conditionalFormatting>
  <conditionalFormatting sqref="I85:K85">
    <cfRule type="expression" dxfId="346" priority="312">
      <formula>OR($G85="X")</formula>
    </cfRule>
  </conditionalFormatting>
  <conditionalFormatting sqref="I85:K85">
    <cfRule type="expression" dxfId="345" priority="311">
      <formula>A$34&gt;31</formula>
    </cfRule>
  </conditionalFormatting>
  <conditionalFormatting sqref="J85">
    <cfRule type="expression" dxfId="344" priority="313">
      <formula>#REF!&gt;31</formula>
    </cfRule>
    <cfRule type="expression" dxfId="343" priority="314">
      <formula>OR($I85="X",$K85="X")</formula>
    </cfRule>
  </conditionalFormatting>
  <conditionalFormatting sqref="K85">
    <cfRule type="expression" dxfId="342" priority="315">
      <formula>#REF!&gt;31</formula>
    </cfRule>
    <cfRule type="expression" dxfId="341" priority="316">
      <formula>OR($I85="X",$J85="X")</formula>
    </cfRule>
  </conditionalFormatting>
  <conditionalFormatting sqref="H85">
    <cfRule type="expression" dxfId="340" priority="310">
      <formula>$G85="X"</formula>
    </cfRule>
  </conditionalFormatting>
  <conditionalFormatting sqref="I86">
    <cfRule type="expression" dxfId="339" priority="302">
      <formula>OR($G86="X")</formula>
    </cfRule>
  </conditionalFormatting>
  <conditionalFormatting sqref="I86">
    <cfRule type="expression" dxfId="338" priority="301">
      <formula>A$34&gt;31</formula>
    </cfRule>
  </conditionalFormatting>
  <conditionalFormatting sqref="J86">
    <cfRule type="expression" dxfId="337" priority="303">
      <formula>#REF!&gt;31</formula>
    </cfRule>
    <cfRule type="expression" dxfId="336" priority="304">
      <formula>OR($I86="X",$K86="X")</formula>
    </cfRule>
  </conditionalFormatting>
  <conditionalFormatting sqref="K86">
    <cfRule type="expression" dxfId="335" priority="305">
      <formula>#REF!&gt;31</formula>
    </cfRule>
    <cfRule type="expression" dxfId="334" priority="306">
      <formula>OR($I86="X",$J86="X")</formula>
    </cfRule>
  </conditionalFormatting>
  <conditionalFormatting sqref="H86">
    <cfRule type="expression" dxfId="333" priority="300">
      <formula>$G86="X"</formula>
    </cfRule>
  </conditionalFormatting>
  <conditionalFormatting sqref="I86:K86">
    <cfRule type="expression" dxfId="332" priority="289">
      <formula>OR($G86="X")</formula>
    </cfRule>
  </conditionalFormatting>
  <conditionalFormatting sqref="I86:K86">
    <cfRule type="expression" dxfId="331" priority="288">
      <formula>A$34&gt;31</formula>
    </cfRule>
  </conditionalFormatting>
  <conditionalFormatting sqref="J86">
    <cfRule type="expression" dxfId="330" priority="290">
      <formula>#REF!&gt;31</formula>
    </cfRule>
    <cfRule type="expression" dxfId="329" priority="291">
      <formula>OR($I86="X",$K86="X")</formula>
    </cfRule>
  </conditionalFormatting>
  <conditionalFormatting sqref="K86">
    <cfRule type="expression" dxfId="328" priority="292">
      <formula>#REF!&gt;31</formula>
    </cfRule>
    <cfRule type="expression" dxfId="327" priority="293">
      <formula>OR($I86="X",$J86="X")</formula>
    </cfRule>
  </conditionalFormatting>
  <conditionalFormatting sqref="H86">
    <cfRule type="expression" dxfId="326" priority="287">
      <formula>$G86="X"</formula>
    </cfRule>
  </conditionalFormatting>
  <conditionalFormatting sqref="I89">
    <cfRule type="expression" dxfId="325" priority="279">
      <formula>OR($G89="X")</formula>
    </cfRule>
  </conditionalFormatting>
  <conditionalFormatting sqref="I89">
    <cfRule type="expression" dxfId="324" priority="278">
      <formula>A$34&gt;31</formula>
    </cfRule>
  </conditionalFormatting>
  <conditionalFormatting sqref="J89">
    <cfRule type="expression" dxfId="323" priority="280">
      <formula>#REF!&gt;31</formula>
    </cfRule>
    <cfRule type="expression" dxfId="322" priority="281">
      <formula>OR($I89="X",$K89="X")</formula>
    </cfRule>
  </conditionalFormatting>
  <conditionalFormatting sqref="K89">
    <cfRule type="expression" dxfId="321" priority="282">
      <formula>#REF!&gt;31</formula>
    </cfRule>
    <cfRule type="expression" dxfId="320" priority="283">
      <formula>OR($I89="X",$J89="X")</formula>
    </cfRule>
  </conditionalFormatting>
  <conditionalFormatting sqref="H89">
    <cfRule type="expression" dxfId="319" priority="277">
      <formula>$G89="X"</formula>
    </cfRule>
  </conditionalFormatting>
  <conditionalFormatting sqref="I89:K89">
    <cfRule type="expression" dxfId="318" priority="266">
      <formula>OR($G89="X")</formula>
    </cfRule>
  </conditionalFormatting>
  <conditionalFormatting sqref="I89:K89">
    <cfRule type="expression" dxfId="317" priority="265">
      <formula>A$34&gt;31</formula>
    </cfRule>
  </conditionalFormatting>
  <conditionalFormatting sqref="J89">
    <cfRule type="expression" dxfId="316" priority="267">
      <formula>#REF!&gt;31</formula>
    </cfRule>
    <cfRule type="expression" dxfId="315" priority="268">
      <formula>OR($I89="X",$K89="X")</formula>
    </cfRule>
  </conditionalFormatting>
  <conditionalFormatting sqref="K89">
    <cfRule type="expression" dxfId="314" priority="269">
      <formula>#REF!&gt;31</formula>
    </cfRule>
    <cfRule type="expression" dxfId="313" priority="270">
      <formula>OR($I89="X",$J89="X")</formula>
    </cfRule>
  </conditionalFormatting>
  <conditionalFormatting sqref="H89">
    <cfRule type="expression" dxfId="312" priority="264">
      <formula>$G89="X"</formula>
    </cfRule>
  </conditionalFormatting>
  <conditionalFormatting sqref="I90">
    <cfRule type="expression" dxfId="311" priority="256">
      <formula>OR($G90="X")</formula>
    </cfRule>
  </conditionalFormatting>
  <conditionalFormatting sqref="I90">
    <cfRule type="expression" dxfId="310" priority="255">
      <formula>A$34&gt;31</formula>
    </cfRule>
  </conditionalFormatting>
  <conditionalFormatting sqref="J90">
    <cfRule type="expression" dxfId="309" priority="257">
      <formula>#REF!&gt;31</formula>
    </cfRule>
    <cfRule type="expression" dxfId="308" priority="258">
      <formula>OR($I90="X",$K90="X")</formula>
    </cfRule>
  </conditionalFormatting>
  <conditionalFormatting sqref="K90">
    <cfRule type="expression" dxfId="307" priority="259">
      <formula>#REF!&gt;31</formula>
    </cfRule>
    <cfRule type="expression" dxfId="306" priority="260">
      <formula>OR($I90="X",$J90="X")</formula>
    </cfRule>
  </conditionalFormatting>
  <conditionalFormatting sqref="H90">
    <cfRule type="expression" dxfId="305" priority="254">
      <formula>$G90="X"</formula>
    </cfRule>
  </conditionalFormatting>
  <conditionalFormatting sqref="I90:K90">
    <cfRule type="expression" dxfId="304" priority="243">
      <formula>OR($G90="X")</formula>
    </cfRule>
  </conditionalFormatting>
  <conditionalFormatting sqref="I90:K90">
    <cfRule type="expression" dxfId="303" priority="242">
      <formula>A$34&gt;31</formula>
    </cfRule>
  </conditionalFormatting>
  <conditionalFormatting sqref="J90">
    <cfRule type="expression" dxfId="302" priority="244">
      <formula>#REF!&gt;31</formula>
    </cfRule>
    <cfRule type="expression" dxfId="301" priority="245">
      <formula>OR($I90="X",$K90="X")</formula>
    </cfRule>
  </conditionalFormatting>
  <conditionalFormatting sqref="K90">
    <cfRule type="expression" dxfId="300" priority="246">
      <formula>#REF!&gt;31</formula>
    </cfRule>
    <cfRule type="expression" dxfId="299" priority="247">
      <formula>OR($I90="X",$J90="X")</formula>
    </cfRule>
  </conditionalFormatting>
  <conditionalFormatting sqref="H90">
    <cfRule type="expression" dxfId="298" priority="241">
      <formula>$G90="X"</formula>
    </cfRule>
  </conditionalFormatting>
  <conditionalFormatting sqref="I91">
    <cfRule type="expression" dxfId="297" priority="233">
      <formula>OR($G91="X")</formula>
    </cfRule>
  </conditionalFormatting>
  <conditionalFormatting sqref="I91">
    <cfRule type="expression" dxfId="296" priority="232">
      <formula>A$34&gt;31</formula>
    </cfRule>
  </conditionalFormatting>
  <conditionalFormatting sqref="J91">
    <cfRule type="expression" dxfId="295" priority="234">
      <formula>#REF!&gt;31</formula>
    </cfRule>
    <cfRule type="expression" dxfId="294" priority="235">
      <formula>OR($I91="X",$K91="X")</formula>
    </cfRule>
  </conditionalFormatting>
  <conditionalFormatting sqref="K91">
    <cfRule type="expression" dxfId="293" priority="236">
      <formula>#REF!&gt;31</formula>
    </cfRule>
    <cfRule type="expression" dxfId="292" priority="237">
      <formula>OR($I91="X",$J91="X")</formula>
    </cfRule>
  </conditionalFormatting>
  <conditionalFormatting sqref="H91">
    <cfRule type="expression" dxfId="291" priority="231">
      <formula>$G91="X"</formula>
    </cfRule>
  </conditionalFormatting>
  <conditionalFormatting sqref="I91:K91">
    <cfRule type="expression" dxfId="290" priority="220">
      <formula>OR($G91="X")</formula>
    </cfRule>
  </conditionalFormatting>
  <conditionalFormatting sqref="I91:K91">
    <cfRule type="expression" dxfId="289" priority="219">
      <formula>A$34&gt;31</formula>
    </cfRule>
  </conditionalFormatting>
  <conditionalFormatting sqref="J91">
    <cfRule type="expression" dxfId="288" priority="221">
      <formula>#REF!&gt;31</formula>
    </cfRule>
    <cfRule type="expression" dxfId="287" priority="222">
      <formula>OR($I91="X",$K91="X")</formula>
    </cfRule>
  </conditionalFormatting>
  <conditionalFormatting sqref="K91">
    <cfRule type="expression" dxfId="286" priority="223">
      <formula>#REF!&gt;31</formula>
    </cfRule>
    <cfRule type="expression" dxfId="285" priority="224">
      <formula>OR($I91="X",$J91="X")</formula>
    </cfRule>
  </conditionalFormatting>
  <conditionalFormatting sqref="H91">
    <cfRule type="expression" dxfId="284" priority="218">
      <formula>$G91="X"</formula>
    </cfRule>
  </conditionalFormatting>
  <conditionalFormatting sqref="I92">
    <cfRule type="expression" dxfId="283" priority="210">
      <formula>OR($G92="X")</formula>
    </cfRule>
  </conditionalFormatting>
  <conditionalFormatting sqref="I92">
    <cfRule type="expression" dxfId="282" priority="209">
      <formula>A$34&gt;31</formula>
    </cfRule>
  </conditionalFormatting>
  <conditionalFormatting sqref="J92">
    <cfRule type="expression" dxfId="281" priority="211">
      <formula>#REF!&gt;31</formula>
    </cfRule>
    <cfRule type="expression" dxfId="280" priority="212">
      <formula>OR($I92="X",$K92="X")</formula>
    </cfRule>
  </conditionalFormatting>
  <conditionalFormatting sqref="K92">
    <cfRule type="expression" dxfId="279" priority="213">
      <formula>#REF!&gt;31</formula>
    </cfRule>
    <cfRule type="expression" dxfId="278" priority="214">
      <formula>OR($I92="X",$J92="X")</formula>
    </cfRule>
  </conditionalFormatting>
  <conditionalFormatting sqref="H92">
    <cfRule type="expression" dxfId="277" priority="208">
      <formula>$G92="X"</formula>
    </cfRule>
  </conditionalFormatting>
  <conditionalFormatting sqref="I92:K92">
    <cfRule type="expression" dxfId="276" priority="197">
      <formula>OR($G92="X")</formula>
    </cfRule>
  </conditionalFormatting>
  <conditionalFormatting sqref="I92:K92">
    <cfRule type="expression" dxfId="275" priority="196">
      <formula>A$34&gt;31</formula>
    </cfRule>
  </conditionalFormatting>
  <conditionalFormatting sqref="J92">
    <cfRule type="expression" dxfId="274" priority="198">
      <formula>#REF!&gt;31</formula>
    </cfRule>
    <cfRule type="expression" dxfId="273" priority="199">
      <formula>OR($I92="X",$K92="X")</formula>
    </cfRule>
  </conditionalFormatting>
  <conditionalFormatting sqref="K92">
    <cfRule type="expression" dxfId="272" priority="200">
      <formula>#REF!&gt;31</formula>
    </cfRule>
    <cfRule type="expression" dxfId="271" priority="201">
      <formula>OR($I92="X",$J92="X")</formula>
    </cfRule>
  </conditionalFormatting>
  <conditionalFormatting sqref="H92">
    <cfRule type="expression" dxfId="270" priority="195">
      <formula>$G92="X"</formula>
    </cfRule>
  </conditionalFormatting>
  <conditionalFormatting sqref="I94">
    <cfRule type="expression" dxfId="269" priority="187">
      <formula>OR($G94="X")</formula>
    </cfRule>
  </conditionalFormatting>
  <conditionalFormatting sqref="I94">
    <cfRule type="expression" dxfId="268" priority="186">
      <formula>A$34&gt;31</formula>
    </cfRule>
  </conditionalFormatting>
  <conditionalFormatting sqref="J94">
    <cfRule type="expression" dxfId="267" priority="188">
      <formula>#REF!&gt;31</formula>
    </cfRule>
    <cfRule type="expression" dxfId="266" priority="189">
      <formula>OR($I94="X",$K94="X")</formula>
    </cfRule>
  </conditionalFormatting>
  <conditionalFormatting sqref="K94">
    <cfRule type="expression" dxfId="265" priority="190">
      <formula>#REF!&gt;31</formula>
    </cfRule>
    <cfRule type="expression" dxfId="264" priority="191">
      <formula>OR($I94="X",$J94="X")</formula>
    </cfRule>
  </conditionalFormatting>
  <conditionalFormatting sqref="H94">
    <cfRule type="expression" dxfId="263" priority="185">
      <formula>$G94="X"</formula>
    </cfRule>
  </conditionalFormatting>
  <conditionalFormatting sqref="I94:K94">
    <cfRule type="expression" dxfId="262" priority="174">
      <formula>OR($G94="X")</formula>
    </cfRule>
  </conditionalFormatting>
  <conditionalFormatting sqref="I94:K94">
    <cfRule type="expression" dxfId="261" priority="173">
      <formula>A$34&gt;31</formula>
    </cfRule>
  </conditionalFormatting>
  <conditionalFormatting sqref="J94">
    <cfRule type="expression" dxfId="260" priority="175">
      <formula>#REF!&gt;31</formula>
    </cfRule>
    <cfRule type="expression" dxfId="259" priority="176">
      <formula>OR($I94="X",$K94="X")</formula>
    </cfRule>
  </conditionalFormatting>
  <conditionalFormatting sqref="K94">
    <cfRule type="expression" dxfId="258" priority="177">
      <formula>#REF!&gt;31</formula>
    </cfRule>
    <cfRule type="expression" dxfId="257" priority="178">
      <formula>OR($I94="X",$J94="X")</formula>
    </cfRule>
  </conditionalFormatting>
  <conditionalFormatting sqref="H94">
    <cfRule type="expression" dxfId="256" priority="172">
      <formula>$G94="X"</formula>
    </cfRule>
  </conditionalFormatting>
  <conditionalFormatting sqref="I93">
    <cfRule type="expression" dxfId="255" priority="164">
      <formula>OR($G93="X")</formula>
    </cfRule>
  </conditionalFormatting>
  <conditionalFormatting sqref="I93">
    <cfRule type="expression" dxfId="254" priority="163">
      <formula>A$34&gt;31</formula>
    </cfRule>
  </conditionalFormatting>
  <conditionalFormatting sqref="J93">
    <cfRule type="expression" dxfId="253" priority="165">
      <formula>#REF!&gt;31</formula>
    </cfRule>
    <cfRule type="expression" dxfId="252" priority="166">
      <formula>OR($I93="X",$K93="X")</formula>
    </cfRule>
  </conditionalFormatting>
  <conditionalFormatting sqref="K93">
    <cfRule type="expression" dxfId="251" priority="167">
      <formula>#REF!&gt;31</formula>
    </cfRule>
    <cfRule type="expression" dxfId="250" priority="168">
      <formula>OR($I93="X",$J93="X")</formula>
    </cfRule>
  </conditionalFormatting>
  <conditionalFormatting sqref="H93">
    <cfRule type="expression" dxfId="249" priority="162">
      <formula>$G93="X"</formula>
    </cfRule>
  </conditionalFormatting>
  <conditionalFormatting sqref="I93:K93">
    <cfRule type="expression" dxfId="248" priority="151">
      <formula>OR($G93="X")</formula>
    </cfRule>
  </conditionalFormatting>
  <conditionalFormatting sqref="I93:K93">
    <cfRule type="expression" dxfId="247" priority="150">
      <formula>A$34&gt;31</formula>
    </cfRule>
  </conditionalFormatting>
  <conditionalFormatting sqref="J93">
    <cfRule type="expression" dxfId="246" priority="152">
      <formula>#REF!&gt;31</formula>
    </cfRule>
    <cfRule type="expression" dxfId="245" priority="153">
      <formula>OR($I93="X",$K93="X")</formula>
    </cfRule>
  </conditionalFormatting>
  <conditionalFormatting sqref="K93">
    <cfRule type="expression" dxfId="244" priority="154">
      <formula>#REF!&gt;31</formula>
    </cfRule>
    <cfRule type="expression" dxfId="243" priority="155">
      <formula>OR($I93="X",$J93="X")</formula>
    </cfRule>
  </conditionalFormatting>
  <conditionalFormatting sqref="H93">
    <cfRule type="expression" dxfId="242" priority="149">
      <formula>$G93="X"</formula>
    </cfRule>
  </conditionalFormatting>
  <conditionalFormatting sqref="I95">
    <cfRule type="expression" dxfId="241" priority="141">
      <formula>OR($G95="X")</formula>
    </cfRule>
  </conditionalFormatting>
  <conditionalFormatting sqref="I95">
    <cfRule type="expression" dxfId="240" priority="140">
      <formula>A$34&gt;31</formula>
    </cfRule>
  </conditionalFormatting>
  <conditionalFormatting sqref="J95">
    <cfRule type="expression" dxfId="239" priority="142">
      <formula>#REF!&gt;31</formula>
    </cfRule>
    <cfRule type="expression" dxfId="238" priority="143">
      <formula>OR($I95="X",$K95="X")</formula>
    </cfRule>
  </conditionalFormatting>
  <conditionalFormatting sqref="K95">
    <cfRule type="expression" dxfId="237" priority="144">
      <formula>#REF!&gt;31</formula>
    </cfRule>
    <cfRule type="expression" dxfId="236" priority="145">
      <formula>OR($I95="X",$J95="X")</formula>
    </cfRule>
  </conditionalFormatting>
  <conditionalFormatting sqref="H95">
    <cfRule type="expression" dxfId="235" priority="139">
      <formula>$G95="X"</formula>
    </cfRule>
  </conditionalFormatting>
  <conditionalFormatting sqref="I95:K95">
    <cfRule type="expression" dxfId="234" priority="128">
      <formula>OR($G95="X")</formula>
    </cfRule>
  </conditionalFormatting>
  <conditionalFormatting sqref="I95:K95">
    <cfRule type="expression" dxfId="233" priority="127">
      <formula>A$34&gt;31</formula>
    </cfRule>
  </conditionalFormatting>
  <conditionalFormatting sqref="J95">
    <cfRule type="expression" dxfId="232" priority="129">
      <formula>#REF!&gt;31</formula>
    </cfRule>
    <cfRule type="expression" dxfId="231" priority="130">
      <formula>OR($I95="X",$K95="X")</formula>
    </cfRule>
  </conditionalFormatting>
  <conditionalFormatting sqref="K95">
    <cfRule type="expression" dxfId="230" priority="131">
      <formula>#REF!&gt;31</formula>
    </cfRule>
    <cfRule type="expression" dxfId="229" priority="132">
      <formula>OR($I95="X",$J95="X")</formula>
    </cfRule>
  </conditionalFormatting>
  <conditionalFormatting sqref="H95">
    <cfRule type="expression" dxfId="228" priority="126">
      <formula>$G95="X"</formula>
    </cfRule>
  </conditionalFormatting>
  <conditionalFormatting sqref="I96">
    <cfRule type="expression" dxfId="227" priority="118">
      <formula>OR($G96="X")</formula>
    </cfRule>
  </conditionalFormatting>
  <conditionalFormatting sqref="I96">
    <cfRule type="expression" dxfId="226" priority="117">
      <formula>A$34&gt;31</formula>
    </cfRule>
  </conditionalFormatting>
  <conditionalFormatting sqref="J96">
    <cfRule type="expression" dxfId="225" priority="119">
      <formula>#REF!&gt;31</formula>
    </cfRule>
    <cfRule type="expression" dxfId="224" priority="120">
      <formula>OR($I96="X",$K96="X")</formula>
    </cfRule>
  </conditionalFormatting>
  <conditionalFormatting sqref="K96">
    <cfRule type="expression" dxfId="223" priority="121">
      <formula>#REF!&gt;31</formula>
    </cfRule>
    <cfRule type="expression" dxfId="222" priority="122">
      <formula>OR($I96="X",$J96="X")</formula>
    </cfRule>
  </conditionalFormatting>
  <conditionalFormatting sqref="H96">
    <cfRule type="expression" dxfId="221" priority="116">
      <formula>$G96="X"</formula>
    </cfRule>
  </conditionalFormatting>
  <conditionalFormatting sqref="I96:K96">
    <cfRule type="expression" dxfId="220" priority="105">
      <formula>OR($G96="X")</formula>
    </cfRule>
  </conditionalFormatting>
  <conditionalFormatting sqref="I96:K96">
    <cfRule type="expression" dxfId="219" priority="104">
      <formula>A$34&gt;31</formula>
    </cfRule>
  </conditionalFormatting>
  <conditionalFormatting sqref="J96">
    <cfRule type="expression" dxfId="218" priority="106">
      <formula>#REF!&gt;31</formula>
    </cfRule>
    <cfRule type="expression" dxfId="217" priority="107">
      <formula>OR($I96="X",$K96="X")</formula>
    </cfRule>
  </conditionalFormatting>
  <conditionalFormatting sqref="K96">
    <cfRule type="expression" dxfId="216" priority="108">
      <formula>#REF!&gt;31</formula>
    </cfRule>
    <cfRule type="expression" dxfId="215" priority="109">
      <formula>OR($I96="X",$J96="X")</formula>
    </cfRule>
  </conditionalFormatting>
  <conditionalFormatting sqref="H96">
    <cfRule type="expression" dxfId="214" priority="103">
      <formula>$G96="X"</formula>
    </cfRule>
  </conditionalFormatting>
  <conditionalFormatting sqref="I97:K105">
    <cfRule type="expression" dxfId="213" priority="26">
      <formula>OR($G97="X")</formula>
    </cfRule>
  </conditionalFormatting>
  <conditionalFormatting sqref="I97:K105">
    <cfRule type="expression" dxfId="212" priority="25">
      <formula>A$34&gt;31</formula>
    </cfRule>
  </conditionalFormatting>
  <conditionalFormatting sqref="J97:J105">
    <cfRule type="expression" dxfId="211" priority="27">
      <formula>#REF!&gt;31</formula>
    </cfRule>
    <cfRule type="expression" dxfId="210" priority="28">
      <formula>OR($I97="X",$K97="X")</formula>
    </cfRule>
  </conditionalFormatting>
  <conditionalFormatting sqref="K97:K105">
    <cfRule type="expression" dxfId="209" priority="29">
      <formula>#REF!&gt;31</formula>
    </cfRule>
    <cfRule type="expression" dxfId="208" priority="30">
      <formula>OR($I97="X",$J97="X")</formula>
    </cfRule>
  </conditionalFormatting>
  <conditionalFormatting sqref="H97:H100">
    <cfRule type="expression" dxfId="207" priority="24">
      <formula>$G97="X"</formula>
    </cfRule>
  </conditionalFormatting>
  <conditionalFormatting sqref="I97:K105">
    <cfRule type="expression" dxfId="206" priority="12">
      <formula>A$34&gt;31</formula>
    </cfRule>
  </conditionalFormatting>
  <conditionalFormatting sqref="F96:F98">
    <cfRule type="expression" dxfId="205" priority="7">
      <formula>MOD(ROW(),2)=0</formula>
    </cfRule>
  </conditionalFormatting>
  <conditionalFormatting sqref="F100">
    <cfRule type="expression" dxfId="204" priority="6">
      <formula>MOD(ROW(),2)=0</formula>
    </cfRule>
  </conditionalFormatting>
  <conditionalFormatting sqref="F86">
    <cfRule type="expression" dxfId="203" priority="1">
      <formula>MOD(ROW(),2)=0</formula>
    </cfRule>
  </conditionalFormatting>
  <pageMargins left="0.7" right="0.7" top="0.78740157499999996" bottom="0.78740157499999996" header="0.3" footer="0.3"/>
  <pageSetup paperSize="9" scale="62" fitToHeight="0" orientation="landscape" r:id="rId1"/>
  <rowBreaks count="3" manualBreakCount="3">
    <brk id="31" max="10" man="1"/>
    <brk id="59" max="10" man="1"/>
    <brk id="79" max="10" man="1"/>
  </rowBreaks>
  <drawing r:id="rId2"/>
  <extLst>
    <ext xmlns:x14="http://schemas.microsoft.com/office/spreadsheetml/2009/9/main" uri="{78C0D931-6437-407d-A8EE-F0AAD7539E65}">
      <x14:conditionalFormattings>
        <x14:conditionalFormatting xmlns:xm="http://schemas.microsoft.com/office/excel/2006/main">
          <x14:cfRule type="containsText" priority="923" operator="containsText" id="{3A69BBE0-D8E6-463D-B2F9-7CFDF1F89F5D}">
            <xm:f>NOT(ISERROR(SEARCH(Hidden_Lists!$C$28,H36)))</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924" operator="containsText" id="{014BF594-26D9-474F-8C79-4EEB52EA7153}">
            <xm:f>NOT(ISERROR(SEARCH(Hidden_Lists!$C$27,H36)))</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H36:H45</xm:sqref>
        </x14:conditionalFormatting>
        <x14:conditionalFormatting xmlns:xm="http://schemas.microsoft.com/office/excel/2006/main">
          <x14:cfRule type="containsText" priority="761" operator="containsText" id="{E85A25DC-D2AE-427B-9B4B-FE72E56E036A}">
            <xm:f>NOT(ISERROR(SEARCH(Hidden_Lists!$C$29,H36)))</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H36:H45</xm:sqref>
        </x14:conditionalFormatting>
        <x14:conditionalFormatting xmlns:xm="http://schemas.microsoft.com/office/excel/2006/main">
          <x14:cfRule type="containsText" priority="180" operator="containsText" id="{B7F51C08-B26A-4CB3-BE81-FC72009A14FA}">
            <xm:f>NOT(ISERROR(SEARCH("high",H94)))</xm:f>
            <xm:f>"high"</xm:f>
            <x14:dxf>
              <fill>
                <patternFill>
                  <bgColor theme="9"/>
                </patternFill>
              </fill>
            </x14:dxf>
          </x14:cfRule>
          <x14:cfRule type="containsText" priority="181" operator="containsText" id="{0DC84342-B452-4ABD-87A3-C6B41B79CA46}">
            <xm:f>NOT(ISERROR(SEARCH( "average",H94)))</xm:f>
            <xm:f xml:space="preserve"> "average"</xm:f>
            <x14:dxf>
              <fill>
                <patternFill>
                  <bgColor theme="7" tint="0.59996337778862885"/>
                </patternFill>
              </fill>
            </x14:dxf>
          </x14:cfRule>
          <x14:cfRule type="containsText" priority="182" operator="containsText" id="{85F1D952-3499-4A5B-9696-D05178863682}">
            <xm:f>NOT(ISERROR(SEARCH( "weak",H94)))</xm:f>
            <xm:f xml:space="preserve"> "weak"</xm:f>
            <x14:dxf>
              <fill>
                <patternFill>
                  <fgColor auto="1"/>
                  <bgColor rgb="FFFF7D7D"/>
                </patternFill>
              </fill>
            </x14:dxf>
          </x14:cfRule>
          <xm:sqref>H94</xm:sqref>
        </x14:conditionalFormatting>
        <x14:conditionalFormatting xmlns:xm="http://schemas.microsoft.com/office/excel/2006/main">
          <x14:cfRule type="containsText" priority="730" operator="containsText" id="{B427AD94-A9BC-4820-88DE-4FD21C2EA9B5}">
            <xm:f>NOT(ISERROR(SEARCH(Hidden_Lists!$C$28,H77)))</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731" operator="containsText" id="{748FFA97-0678-4C1D-B3C6-780799F1864F}">
            <xm:f>NOT(ISERROR(SEARCH(Hidden_Lists!$C$27,H77)))</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H77:H78</xm:sqref>
        </x14:conditionalFormatting>
        <x14:conditionalFormatting xmlns:xm="http://schemas.microsoft.com/office/excel/2006/main">
          <x14:cfRule type="containsText" priority="727" operator="containsText" id="{940212B0-9FD7-443B-873C-7C24841177F8}">
            <xm:f>NOT(ISERROR(SEARCH("high",H77)))</xm:f>
            <xm:f>"high"</xm:f>
            <x14:dxf>
              <fill>
                <patternFill>
                  <bgColor theme="9"/>
                </patternFill>
              </fill>
            </x14:dxf>
          </x14:cfRule>
          <x14:cfRule type="containsText" priority="728" operator="containsText" id="{E53CA0DC-C73C-495C-B920-8741FFE7101F}">
            <xm:f>NOT(ISERROR(SEARCH( "average",H77)))</xm:f>
            <xm:f xml:space="preserve"> "average"</xm:f>
            <x14:dxf>
              <fill>
                <patternFill>
                  <bgColor theme="7" tint="0.59996337778862885"/>
                </patternFill>
              </fill>
            </x14:dxf>
          </x14:cfRule>
          <x14:cfRule type="containsText" priority="729" operator="containsText" id="{E7F14800-BFD0-494A-BD97-162D7D149CCC}">
            <xm:f>NOT(ISERROR(SEARCH( "weak",H77)))</xm:f>
            <xm:f xml:space="preserve"> "weak"</xm:f>
            <x14:dxf>
              <fill>
                <patternFill>
                  <fgColor auto="1"/>
                  <bgColor rgb="FFFF7D7D"/>
                </patternFill>
              </fill>
            </x14:dxf>
          </x14:cfRule>
          <xm:sqref>H77:H78</xm:sqref>
        </x14:conditionalFormatting>
        <x14:conditionalFormatting xmlns:xm="http://schemas.microsoft.com/office/excel/2006/main">
          <x14:cfRule type="containsText" priority="726" operator="containsText" id="{DD7D44CB-3379-4F5F-83E9-9C9D30917CE8}">
            <xm:f>NOT(ISERROR(SEARCH(Hidden_Lists!$C$29,H77)))</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H77:H78</xm:sqref>
        </x14:conditionalFormatting>
        <x14:conditionalFormatting xmlns:xm="http://schemas.microsoft.com/office/excel/2006/main">
          <x14:cfRule type="containsText" priority="613" operator="containsText" id="{519BF40F-115B-4AD3-9A1C-0FF86B30AF88}">
            <xm:f>NOT(ISERROR(SEARCH(Hidden_Lists!$C$28,H46)))</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614" operator="containsText" id="{CA85D533-FB7F-4582-91AD-CA8EE021F157}">
            <xm:f>NOT(ISERROR(SEARCH(Hidden_Lists!$C$27,H46)))</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H46</xm:sqref>
        </x14:conditionalFormatting>
        <x14:conditionalFormatting xmlns:xm="http://schemas.microsoft.com/office/excel/2006/main">
          <x14:cfRule type="containsText" priority="612" operator="containsText" id="{5E65E93F-C9A7-461F-98D2-B19FEC75BA94}">
            <xm:f>NOT(ISERROR(SEARCH(Hidden_Lists!$C$29,H46)))</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H46</xm:sqref>
        </x14:conditionalFormatting>
        <x14:conditionalFormatting xmlns:xm="http://schemas.microsoft.com/office/excel/2006/main">
          <x14:cfRule type="containsText" priority="9" operator="containsText" id="{0A43DEC1-E92F-4692-A8EC-5156DBC077F8}">
            <xm:f>NOT(ISERROR(SEARCH(Hidden_Lists!$C$28,H97)))</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0" operator="containsText" id="{9DDE50CE-6C1C-4A0D-8A13-8BC591F4E058}">
            <xm:f>NOT(ISERROR(SEARCH(Hidden_Lists!$C$27,H97)))</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H97:H100</xm:sqref>
        </x14:conditionalFormatting>
        <x14:conditionalFormatting xmlns:xm="http://schemas.microsoft.com/office/excel/2006/main">
          <x14:cfRule type="containsText" priority="8" operator="containsText" id="{E9452670-59DD-4609-829C-E826C0A688D4}">
            <xm:f>NOT(ISERROR(SEARCH(Hidden_Lists!$C$29,H97)))</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H97:H100</xm:sqref>
        </x14:conditionalFormatting>
        <x14:conditionalFormatting xmlns:xm="http://schemas.microsoft.com/office/excel/2006/main">
          <x14:cfRule type="containsText" priority="593" operator="containsText" id="{B2228467-85EC-466B-A4F8-CA1AC4D0B8F4}">
            <xm:f>NOT(ISERROR(SEARCH(Hidden_Lists!$C$28,H47)))</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594" operator="containsText" id="{C1065C12-254C-4A50-9350-FB278BFBA56F}">
            <xm:f>NOT(ISERROR(SEARCH(Hidden_Lists!$C$27,H47)))</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H47</xm:sqref>
        </x14:conditionalFormatting>
        <x14:conditionalFormatting xmlns:xm="http://schemas.microsoft.com/office/excel/2006/main">
          <x14:cfRule type="containsText" priority="592" operator="containsText" id="{33A63423-E9A6-4873-BB23-30F11AECA6DE}">
            <xm:f>NOT(ISERROR(SEARCH(Hidden_Lists!$C$29,H47)))</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H47</xm:sqref>
        </x14:conditionalFormatting>
        <x14:conditionalFormatting xmlns:xm="http://schemas.microsoft.com/office/excel/2006/main">
          <x14:cfRule type="containsText" priority="583" operator="containsText" id="{18E01F56-AAA0-482C-A034-1B95E26351C1}">
            <xm:f>NOT(ISERROR(SEARCH(Hidden_Lists!$C$28,H48)))</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584" operator="containsText" id="{31FB2F83-EAF7-4992-9DDF-2BCF95D207E6}">
            <xm:f>NOT(ISERROR(SEARCH(Hidden_Lists!$C$27,H48)))</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H48</xm:sqref>
        </x14:conditionalFormatting>
        <x14:conditionalFormatting xmlns:xm="http://schemas.microsoft.com/office/excel/2006/main">
          <x14:cfRule type="containsText" priority="582" operator="containsText" id="{4A246F89-12FC-4D41-96C5-873D4195727E}">
            <xm:f>NOT(ISERROR(SEARCH(Hidden_Lists!$C$29,H48)))</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H48</xm:sqref>
        </x14:conditionalFormatting>
        <x14:conditionalFormatting xmlns:xm="http://schemas.microsoft.com/office/excel/2006/main">
          <x14:cfRule type="containsText" priority="18" operator="containsText" id="{41F5C36E-22C7-4722-9531-D05A80B227F5}">
            <xm:f>NOT(ISERROR(SEARCH(Hidden_Lists!$C$29,H97)))</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H97:H100</xm:sqref>
        </x14:conditionalFormatting>
        <x14:conditionalFormatting xmlns:xm="http://schemas.microsoft.com/office/excel/2006/main">
          <x14:cfRule type="containsText" priority="483" operator="containsText" id="{0E499EC3-348C-4A1C-A29E-35BB05078F78}">
            <xm:f>NOT(ISERROR(SEARCH(Hidden_Lists!$C$28,H51)))</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484" operator="containsText" id="{3B6E69EE-E4F6-4BB7-8B96-0DB3CFB47DDD}">
            <xm:f>NOT(ISERROR(SEARCH(Hidden_Lists!$C$27,H51)))</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H51</xm:sqref>
        </x14:conditionalFormatting>
        <x14:conditionalFormatting xmlns:xm="http://schemas.microsoft.com/office/excel/2006/main">
          <x14:cfRule type="containsText" priority="482" operator="containsText" id="{C06D824D-A1AE-4DA3-BFCA-61E6F1569F02}">
            <xm:f>NOT(ISERROR(SEARCH(Hidden_Lists!$C$29,H51)))</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H51</xm:sqref>
        </x14:conditionalFormatting>
        <x14:conditionalFormatting xmlns:xm="http://schemas.microsoft.com/office/excel/2006/main">
          <x14:cfRule type="containsText" priority="463" operator="containsText" id="{ED70C8AC-9B12-4A7F-9458-BF938760B6D0}">
            <xm:f>NOT(ISERROR(SEARCH(Hidden_Lists!$C$28,H52)))</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464" operator="containsText" id="{7128FB53-547C-4103-A360-EABF9F87EAFF}">
            <xm:f>NOT(ISERROR(SEARCH(Hidden_Lists!$C$27,H52)))</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H52:H58</xm:sqref>
        </x14:conditionalFormatting>
        <x14:conditionalFormatting xmlns:xm="http://schemas.microsoft.com/office/excel/2006/main">
          <x14:cfRule type="containsText" priority="462" operator="containsText" id="{56813D40-A1BC-435B-9939-7DB4456122AB}">
            <xm:f>NOT(ISERROR(SEARCH(Hidden_Lists!$C$29,H52)))</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H52:H58</xm:sqref>
        </x14:conditionalFormatting>
        <x14:conditionalFormatting xmlns:xm="http://schemas.microsoft.com/office/excel/2006/main">
          <x14:cfRule type="containsText" priority="453" operator="containsText" id="{D98836B9-0FC6-4F3E-893A-F51E62E62BFE}">
            <xm:f>NOT(ISERROR(SEARCH(Hidden_Lists!$C$28,H61)))</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454" operator="containsText" id="{FCCC8D89-99EB-46C6-9E0A-1677ED6CA5AE}">
            <xm:f>NOT(ISERROR(SEARCH(Hidden_Lists!$C$27,H61)))</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H61:H63</xm:sqref>
        </x14:conditionalFormatting>
        <x14:conditionalFormatting xmlns:xm="http://schemas.microsoft.com/office/excel/2006/main">
          <x14:cfRule type="containsText" priority="452" operator="containsText" id="{43689AD5-AE38-41EC-A64E-2A00F89AF4B7}">
            <xm:f>NOT(ISERROR(SEARCH(Hidden_Lists!$C$29,H61)))</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H61:H63</xm:sqref>
        </x14:conditionalFormatting>
        <x14:conditionalFormatting xmlns:xm="http://schemas.microsoft.com/office/excel/2006/main">
          <x14:cfRule type="containsText" priority="443" operator="containsText" id="{EB642E56-E718-4983-8490-0BD2763F3777}">
            <xm:f>NOT(ISERROR(SEARCH(Hidden_Lists!$C$28,H66)))</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444" operator="containsText" id="{441B09C6-F1DE-43CF-BCF2-BA51489795D3}">
            <xm:f>NOT(ISERROR(SEARCH(Hidden_Lists!$C$27,H66)))</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H66:H68</xm:sqref>
        </x14:conditionalFormatting>
        <x14:conditionalFormatting xmlns:xm="http://schemas.microsoft.com/office/excel/2006/main">
          <x14:cfRule type="containsText" priority="442" operator="containsText" id="{5FC77794-4A4A-4A97-9BCD-B0AFE6F32C06}">
            <xm:f>NOT(ISERROR(SEARCH(Hidden_Lists!$C$29,H66)))</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H66:H68</xm:sqref>
        </x14:conditionalFormatting>
        <x14:conditionalFormatting xmlns:xm="http://schemas.microsoft.com/office/excel/2006/main">
          <x14:cfRule type="containsText" priority="433" operator="containsText" id="{4648EB0A-CF49-4DA5-8B9B-F5EE7CDC2C4B}">
            <xm:f>NOT(ISERROR(SEARCH(Hidden_Lists!$C$28,H71)))</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434" operator="containsText" id="{DCC7992B-1F54-4640-899C-38076D5B3DF6}">
            <xm:f>NOT(ISERROR(SEARCH(Hidden_Lists!$C$27,H71)))</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H71:H73</xm:sqref>
        </x14:conditionalFormatting>
        <x14:conditionalFormatting xmlns:xm="http://schemas.microsoft.com/office/excel/2006/main">
          <x14:cfRule type="containsText" priority="432" operator="containsText" id="{B77F7487-FEB9-40A5-B958-D776D4976984}">
            <xm:f>NOT(ISERROR(SEARCH(Hidden_Lists!$C$29,H71)))</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H71:H73</xm:sqref>
        </x14:conditionalFormatting>
        <x14:conditionalFormatting xmlns:xm="http://schemas.microsoft.com/office/excel/2006/main">
          <x14:cfRule type="containsText" priority="423" operator="containsText" id="{CD70DD23-45EC-4709-85CD-3D8E68B8989E}">
            <xm:f>NOT(ISERROR(SEARCH(Hidden_Lists!$C$28,H74)))</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424" operator="containsText" id="{FBD41B71-799A-4425-B7F3-C1FE2FF1B125}">
            <xm:f>NOT(ISERROR(SEARCH(Hidden_Lists!$C$27,H74)))</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H74:H78</xm:sqref>
        </x14:conditionalFormatting>
        <x14:conditionalFormatting xmlns:xm="http://schemas.microsoft.com/office/excel/2006/main">
          <x14:cfRule type="containsText" priority="422" operator="containsText" id="{DBF94F93-9F14-445C-942E-0FCAF20E5DFC}">
            <xm:f>NOT(ISERROR(SEARCH(Hidden_Lists!$C$29,H74)))</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H74:H78</xm:sqref>
        </x14:conditionalFormatting>
        <x14:conditionalFormatting xmlns:xm="http://schemas.microsoft.com/office/excel/2006/main">
          <x14:cfRule type="containsText" priority="413" operator="containsText" id="{9B240A40-4B16-46A6-BEA5-8DB076821D72}">
            <xm:f>NOT(ISERROR(SEARCH(Hidden_Lists!$C$28,H81)))</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414" operator="containsText" id="{57CE7F5D-AB63-4182-A0E8-C1E1437B4161}">
            <xm:f>NOT(ISERROR(SEARCH(Hidden_Lists!$C$27,H81)))</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H81</xm:sqref>
        </x14:conditionalFormatting>
        <x14:conditionalFormatting xmlns:xm="http://schemas.microsoft.com/office/excel/2006/main">
          <x14:cfRule type="containsText" priority="410" operator="containsText" id="{2348A280-0846-47BE-BCEF-27951CEC4245}">
            <xm:f>NOT(ISERROR(SEARCH("high",H81)))</xm:f>
            <xm:f>"high"</xm:f>
            <x14:dxf>
              <fill>
                <patternFill>
                  <bgColor theme="9"/>
                </patternFill>
              </fill>
            </x14:dxf>
          </x14:cfRule>
          <x14:cfRule type="containsText" priority="411" operator="containsText" id="{5747F28C-55D9-44B8-8C26-592AA367DCF2}">
            <xm:f>NOT(ISERROR(SEARCH( "average",H81)))</xm:f>
            <xm:f xml:space="preserve"> "average"</xm:f>
            <x14:dxf>
              <fill>
                <patternFill>
                  <bgColor theme="7" tint="0.59996337778862885"/>
                </patternFill>
              </fill>
            </x14:dxf>
          </x14:cfRule>
          <x14:cfRule type="containsText" priority="412" operator="containsText" id="{49EE15D9-8302-40D6-8079-6943E31F047B}">
            <xm:f>NOT(ISERROR(SEARCH( "weak",H81)))</xm:f>
            <xm:f xml:space="preserve"> "weak"</xm:f>
            <x14:dxf>
              <fill>
                <patternFill>
                  <fgColor auto="1"/>
                  <bgColor rgb="FFFF7D7D"/>
                </patternFill>
              </fill>
            </x14:dxf>
          </x14:cfRule>
          <xm:sqref>H81</xm:sqref>
        </x14:conditionalFormatting>
        <x14:conditionalFormatting xmlns:xm="http://schemas.microsoft.com/office/excel/2006/main">
          <x14:cfRule type="containsText" priority="409" operator="containsText" id="{9189CDA3-F8EA-4AAE-BFCF-248F1F2DE98F}">
            <xm:f>NOT(ISERROR(SEARCH(Hidden_Lists!$C$29,H81)))</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H81</xm:sqref>
        </x14:conditionalFormatting>
        <x14:conditionalFormatting xmlns:xm="http://schemas.microsoft.com/office/excel/2006/main">
          <x14:cfRule type="containsText" priority="400" operator="containsText" id="{574C2D52-6CA8-4296-9F49-F24277AA29E5}">
            <xm:f>NOT(ISERROR(SEARCH(Hidden_Lists!$C$28,H81)))</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401" operator="containsText" id="{B54167E4-47EE-41ED-AE8A-F34A409F29AA}">
            <xm:f>NOT(ISERROR(SEARCH(Hidden_Lists!$C$27,H81)))</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H81</xm:sqref>
        </x14:conditionalFormatting>
        <x14:conditionalFormatting xmlns:xm="http://schemas.microsoft.com/office/excel/2006/main">
          <x14:cfRule type="containsText" priority="399" operator="containsText" id="{4E14A8FE-9C3B-43B2-8CC3-154577D37D34}">
            <xm:f>NOT(ISERROR(SEARCH(Hidden_Lists!$C$29,H81)))</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H81</xm:sqref>
        </x14:conditionalFormatting>
        <x14:conditionalFormatting xmlns:xm="http://schemas.microsoft.com/office/excel/2006/main">
          <x14:cfRule type="containsText" priority="390" operator="containsText" id="{6C26EE39-8499-4E02-B4A9-7ACC57C2289D}">
            <xm:f>NOT(ISERROR(SEARCH(Hidden_Lists!$C$28,H82)))</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391" operator="containsText" id="{59E7CC9E-9655-4708-8DF5-BA343B2611BD}">
            <xm:f>NOT(ISERROR(SEARCH(Hidden_Lists!$C$27,H82)))</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H82</xm:sqref>
        </x14:conditionalFormatting>
        <x14:conditionalFormatting xmlns:xm="http://schemas.microsoft.com/office/excel/2006/main">
          <x14:cfRule type="containsText" priority="387" operator="containsText" id="{873DF1A5-52EB-4DE7-9ECC-B0E2CB035203}">
            <xm:f>NOT(ISERROR(SEARCH("high",H82)))</xm:f>
            <xm:f>"high"</xm:f>
            <x14:dxf>
              <fill>
                <patternFill>
                  <bgColor theme="9"/>
                </patternFill>
              </fill>
            </x14:dxf>
          </x14:cfRule>
          <x14:cfRule type="containsText" priority="388" operator="containsText" id="{C7B6CFC2-5558-4AFE-AC9F-A507B29AA81A}">
            <xm:f>NOT(ISERROR(SEARCH( "average",H82)))</xm:f>
            <xm:f xml:space="preserve"> "average"</xm:f>
            <x14:dxf>
              <fill>
                <patternFill>
                  <bgColor theme="7" tint="0.59996337778862885"/>
                </patternFill>
              </fill>
            </x14:dxf>
          </x14:cfRule>
          <x14:cfRule type="containsText" priority="389" operator="containsText" id="{E4D42545-C6E6-402F-9317-4037F0150D98}">
            <xm:f>NOT(ISERROR(SEARCH( "weak",H82)))</xm:f>
            <xm:f xml:space="preserve"> "weak"</xm:f>
            <x14:dxf>
              <fill>
                <patternFill>
                  <fgColor auto="1"/>
                  <bgColor rgb="FFFF7D7D"/>
                </patternFill>
              </fill>
            </x14:dxf>
          </x14:cfRule>
          <xm:sqref>H82</xm:sqref>
        </x14:conditionalFormatting>
        <x14:conditionalFormatting xmlns:xm="http://schemas.microsoft.com/office/excel/2006/main">
          <x14:cfRule type="containsText" priority="386" operator="containsText" id="{E1C3F6C3-175A-4360-AD65-8050084DBB3F}">
            <xm:f>NOT(ISERROR(SEARCH(Hidden_Lists!$C$29,H82)))</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H82</xm:sqref>
        </x14:conditionalFormatting>
        <x14:conditionalFormatting xmlns:xm="http://schemas.microsoft.com/office/excel/2006/main">
          <x14:cfRule type="containsText" priority="377" operator="containsText" id="{C7138028-1185-4777-A84B-9A526C7DBD91}">
            <xm:f>NOT(ISERROR(SEARCH(Hidden_Lists!$C$28,H82)))</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378" operator="containsText" id="{7F66F842-A7C7-41A1-A6AF-B4B0285C8CD7}">
            <xm:f>NOT(ISERROR(SEARCH(Hidden_Lists!$C$27,H82)))</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H82</xm:sqref>
        </x14:conditionalFormatting>
        <x14:conditionalFormatting xmlns:xm="http://schemas.microsoft.com/office/excel/2006/main">
          <x14:cfRule type="containsText" priority="376" operator="containsText" id="{1C9776BB-1B7E-470E-B5B2-8E092EFE907C}">
            <xm:f>NOT(ISERROR(SEARCH(Hidden_Lists!$C$29,H82)))</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H82</xm:sqref>
        </x14:conditionalFormatting>
        <x14:conditionalFormatting xmlns:xm="http://schemas.microsoft.com/office/excel/2006/main">
          <x14:cfRule type="containsText" priority="367" operator="containsText" id="{FC7F0352-7E12-4C6A-87A6-0D0F44A0A16A}">
            <xm:f>NOT(ISERROR(SEARCH(Hidden_Lists!$C$28,H83)))</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368" operator="containsText" id="{48A1E32F-2AAC-4475-94FF-DA4E3A0C7E84}">
            <xm:f>NOT(ISERROR(SEARCH(Hidden_Lists!$C$27,H83)))</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H83</xm:sqref>
        </x14:conditionalFormatting>
        <x14:conditionalFormatting xmlns:xm="http://schemas.microsoft.com/office/excel/2006/main">
          <x14:cfRule type="containsText" priority="364" operator="containsText" id="{4DBD4B0B-A681-4B2D-A63E-71A4DF075D65}">
            <xm:f>NOT(ISERROR(SEARCH("high",H83)))</xm:f>
            <xm:f>"high"</xm:f>
            <x14:dxf>
              <fill>
                <patternFill>
                  <bgColor theme="9"/>
                </patternFill>
              </fill>
            </x14:dxf>
          </x14:cfRule>
          <x14:cfRule type="containsText" priority="365" operator="containsText" id="{8341EFAA-C571-407E-AA7E-23516A346816}">
            <xm:f>NOT(ISERROR(SEARCH( "average",H83)))</xm:f>
            <xm:f xml:space="preserve"> "average"</xm:f>
            <x14:dxf>
              <fill>
                <patternFill>
                  <bgColor theme="7" tint="0.59996337778862885"/>
                </patternFill>
              </fill>
            </x14:dxf>
          </x14:cfRule>
          <x14:cfRule type="containsText" priority="366" operator="containsText" id="{17E5BB0C-498F-45A0-A527-0B612B3B2626}">
            <xm:f>NOT(ISERROR(SEARCH( "weak",H83)))</xm:f>
            <xm:f xml:space="preserve"> "weak"</xm:f>
            <x14:dxf>
              <fill>
                <patternFill>
                  <fgColor auto="1"/>
                  <bgColor rgb="FFFF7D7D"/>
                </patternFill>
              </fill>
            </x14:dxf>
          </x14:cfRule>
          <xm:sqref>H83</xm:sqref>
        </x14:conditionalFormatting>
        <x14:conditionalFormatting xmlns:xm="http://schemas.microsoft.com/office/excel/2006/main">
          <x14:cfRule type="containsText" priority="363" operator="containsText" id="{96E698A3-975E-4197-A784-97F0D58E8B3D}">
            <xm:f>NOT(ISERROR(SEARCH(Hidden_Lists!$C$29,H83)))</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H83</xm:sqref>
        </x14:conditionalFormatting>
        <x14:conditionalFormatting xmlns:xm="http://schemas.microsoft.com/office/excel/2006/main">
          <x14:cfRule type="containsText" priority="354" operator="containsText" id="{0A85853E-03DB-4B36-9103-B23A7C205F3B}">
            <xm:f>NOT(ISERROR(SEARCH(Hidden_Lists!$C$28,H83)))</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355" operator="containsText" id="{19D25D97-6EC3-4156-B680-0013EFDC4D4A}">
            <xm:f>NOT(ISERROR(SEARCH(Hidden_Lists!$C$27,H83)))</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H83</xm:sqref>
        </x14:conditionalFormatting>
        <x14:conditionalFormatting xmlns:xm="http://schemas.microsoft.com/office/excel/2006/main">
          <x14:cfRule type="containsText" priority="353" operator="containsText" id="{A5797A74-8991-4168-83EA-202CAD27E4D7}">
            <xm:f>NOT(ISERROR(SEARCH(Hidden_Lists!$C$29,H83)))</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H83</xm:sqref>
        </x14:conditionalFormatting>
        <x14:conditionalFormatting xmlns:xm="http://schemas.microsoft.com/office/excel/2006/main">
          <x14:cfRule type="containsText" priority="344" operator="containsText" id="{536D7EC3-683D-4FAC-83D9-40EB58F23111}">
            <xm:f>NOT(ISERROR(SEARCH(Hidden_Lists!$C$28,H84)))</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345" operator="containsText" id="{26980474-BB08-4D61-9577-61FFFEBE4BA8}">
            <xm:f>NOT(ISERROR(SEARCH(Hidden_Lists!$C$27,H84)))</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H84</xm:sqref>
        </x14:conditionalFormatting>
        <x14:conditionalFormatting xmlns:xm="http://schemas.microsoft.com/office/excel/2006/main">
          <x14:cfRule type="containsText" priority="341" operator="containsText" id="{D5178C6F-852C-4E0E-AF43-5582BFAB4B4D}">
            <xm:f>NOT(ISERROR(SEARCH("high",H84)))</xm:f>
            <xm:f>"high"</xm:f>
            <x14:dxf>
              <fill>
                <patternFill>
                  <bgColor theme="9"/>
                </patternFill>
              </fill>
            </x14:dxf>
          </x14:cfRule>
          <x14:cfRule type="containsText" priority="342" operator="containsText" id="{08FB7106-FD5D-42B0-94A3-8E58503DF30E}">
            <xm:f>NOT(ISERROR(SEARCH( "average",H84)))</xm:f>
            <xm:f xml:space="preserve"> "average"</xm:f>
            <x14:dxf>
              <fill>
                <patternFill>
                  <bgColor theme="7" tint="0.59996337778862885"/>
                </patternFill>
              </fill>
            </x14:dxf>
          </x14:cfRule>
          <x14:cfRule type="containsText" priority="343" operator="containsText" id="{25F76778-A57B-485C-BB86-203D22ABC57C}">
            <xm:f>NOT(ISERROR(SEARCH( "weak",H84)))</xm:f>
            <xm:f xml:space="preserve"> "weak"</xm:f>
            <x14:dxf>
              <fill>
                <patternFill>
                  <fgColor auto="1"/>
                  <bgColor rgb="FFFF7D7D"/>
                </patternFill>
              </fill>
            </x14:dxf>
          </x14:cfRule>
          <xm:sqref>H84</xm:sqref>
        </x14:conditionalFormatting>
        <x14:conditionalFormatting xmlns:xm="http://schemas.microsoft.com/office/excel/2006/main">
          <x14:cfRule type="containsText" priority="340" operator="containsText" id="{E4CDC4C6-7973-49FB-A883-AC532A5A2878}">
            <xm:f>NOT(ISERROR(SEARCH(Hidden_Lists!$C$29,H84)))</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H84</xm:sqref>
        </x14:conditionalFormatting>
        <x14:conditionalFormatting xmlns:xm="http://schemas.microsoft.com/office/excel/2006/main">
          <x14:cfRule type="containsText" priority="331" operator="containsText" id="{00830547-19FC-48AC-AA43-89220E1B7099}">
            <xm:f>NOT(ISERROR(SEARCH(Hidden_Lists!$C$28,H84)))</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332" operator="containsText" id="{7F15CD15-9404-4C53-87EE-4B75537F338D}">
            <xm:f>NOT(ISERROR(SEARCH(Hidden_Lists!$C$27,H84)))</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H84</xm:sqref>
        </x14:conditionalFormatting>
        <x14:conditionalFormatting xmlns:xm="http://schemas.microsoft.com/office/excel/2006/main">
          <x14:cfRule type="containsText" priority="330" operator="containsText" id="{716D21AE-065C-4BB7-AC30-F37F1DBAD8AA}">
            <xm:f>NOT(ISERROR(SEARCH(Hidden_Lists!$C$29,H84)))</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H84</xm:sqref>
        </x14:conditionalFormatting>
        <x14:conditionalFormatting xmlns:xm="http://schemas.microsoft.com/office/excel/2006/main">
          <x14:cfRule type="containsText" priority="321" operator="containsText" id="{79ED24BD-7E51-4BA4-BB37-80AD89D7D2B5}">
            <xm:f>NOT(ISERROR(SEARCH(Hidden_Lists!$C$28,H85)))</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322" operator="containsText" id="{0A5A8006-0787-4C3F-8172-F33C3EEAF0AB}">
            <xm:f>NOT(ISERROR(SEARCH(Hidden_Lists!$C$27,H85)))</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H85</xm:sqref>
        </x14:conditionalFormatting>
        <x14:conditionalFormatting xmlns:xm="http://schemas.microsoft.com/office/excel/2006/main">
          <x14:cfRule type="containsText" priority="318" operator="containsText" id="{9AD56937-48AE-469D-8109-DC3D1904426F}">
            <xm:f>NOT(ISERROR(SEARCH("high",H85)))</xm:f>
            <xm:f>"high"</xm:f>
            <x14:dxf>
              <fill>
                <patternFill>
                  <bgColor theme="9"/>
                </patternFill>
              </fill>
            </x14:dxf>
          </x14:cfRule>
          <x14:cfRule type="containsText" priority="319" operator="containsText" id="{AC3F867B-7695-4BE7-9BAD-F6BF60F5E781}">
            <xm:f>NOT(ISERROR(SEARCH( "average",H85)))</xm:f>
            <xm:f xml:space="preserve"> "average"</xm:f>
            <x14:dxf>
              <fill>
                <patternFill>
                  <bgColor theme="7" tint="0.59996337778862885"/>
                </patternFill>
              </fill>
            </x14:dxf>
          </x14:cfRule>
          <x14:cfRule type="containsText" priority="320" operator="containsText" id="{A63E65DC-AEF3-4A6F-9773-ECFCAE00DA1E}">
            <xm:f>NOT(ISERROR(SEARCH( "weak",H85)))</xm:f>
            <xm:f xml:space="preserve"> "weak"</xm:f>
            <x14:dxf>
              <fill>
                <patternFill>
                  <fgColor auto="1"/>
                  <bgColor rgb="FFFF7D7D"/>
                </patternFill>
              </fill>
            </x14:dxf>
          </x14:cfRule>
          <xm:sqref>H85</xm:sqref>
        </x14:conditionalFormatting>
        <x14:conditionalFormatting xmlns:xm="http://schemas.microsoft.com/office/excel/2006/main">
          <x14:cfRule type="containsText" priority="317" operator="containsText" id="{23E1972E-885B-4605-A89E-6C3C289B049F}">
            <xm:f>NOT(ISERROR(SEARCH(Hidden_Lists!$C$29,H85)))</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H85</xm:sqref>
        </x14:conditionalFormatting>
        <x14:conditionalFormatting xmlns:xm="http://schemas.microsoft.com/office/excel/2006/main">
          <x14:cfRule type="containsText" priority="308" operator="containsText" id="{3D78DDBC-E57E-4A01-A246-5569F49BFFAB}">
            <xm:f>NOT(ISERROR(SEARCH(Hidden_Lists!$C$28,H85)))</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309" operator="containsText" id="{479DC72E-8CD9-4DFA-990B-B483FB7190B8}">
            <xm:f>NOT(ISERROR(SEARCH(Hidden_Lists!$C$27,H85)))</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H85</xm:sqref>
        </x14:conditionalFormatting>
        <x14:conditionalFormatting xmlns:xm="http://schemas.microsoft.com/office/excel/2006/main">
          <x14:cfRule type="containsText" priority="307" operator="containsText" id="{5EB39DAD-98BB-49CD-B3C8-C1164EBAB5C9}">
            <xm:f>NOT(ISERROR(SEARCH(Hidden_Lists!$C$29,H85)))</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H85</xm:sqref>
        </x14:conditionalFormatting>
        <x14:conditionalFormatting xmlns:xm="http://schemas.microsoft.com/office/excel/2006/main">
          <x14:cfRule type="containsText" priority="298" operator="containsText" id="{D3978E37-E5AC-47CF-A69C-E50A2B44C9BB}">
            <xm:f>NOT(ISERROR(SEARCH(Hidden_Lists!$C$28,H86)))</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99" operator="containsText" id="{7808FF8A-0ED3-4A24-A06B-9388363DCCF7}">
            <xm:f>NOT(ISERROR(SEARCH(Hidden_Lists!$C$27,H86)))</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H86</xm:sqref>
        </x14:conditionalFormatting>
        <x14:conditionalFormatting xmlns:xm="http://schemas.microsoft.com/office/excel/2006/main">
          <x14:cfRule type="containsText" priority="295" operator="containsText" id="{1FDE11E5-BC27-4138-802A-EC19B79C34BF}">
            <xm:f>NOT(ISERROR(SEARCH("high",H86)))</xm:f>
            <xm:f>"high"</xm:f>
            <x14:dxf>
              <fill>
                <patternFill>
                  <bgColor theme="9"/>
                </patternFill>
              </fill>
            </x14:dxf>
          </x14:cfRule>
          <x14:cfRule type="containsText" priority="296" operator="containsText" id="{06E4E2B0-1EA3-4255-8B02-1E673E94C018}">
            <xm:f>NOT(ISERROR(SEARCH( "average",H86)))</xm:f>
            <xm:f xml:space="preserve"> "average"</xm:f>
            <x14:dxf>
              <fill>
                <patternFill>
                  <bgColor theme="7" tint="0.59996337778862885"/>
                </patternFill>
              </fill>
            </x14:dxf>
          </x14:cfRule>
          <x14:cfRule type="containsText" priority="297" operator="containsText" id="{A64E5AF3-3DFA-4589-A42F-E0B256103F82}">
            <xm:f>NOT(ISERROR(SEARCH( "weak",H86)))</xm:f>
            <xm:f xml:space="preserve"> "weak"</xm:f>
            <x14:dxf>
              <fill>
                <patternFill>
                  <fgColor auto="1"/>
                  <bgColor rgb="FFFF7D7D"/>
                </patternFill>
              </fill>
            </x14:dxf>
          </x14:cfRule>
          <xm:sqref>H86</xm:sqref>
        </x14:conditionalFormatting>
        <x14:conditionalFormatting xmlns:xm="http://schemas.microsoft.com/office/excel/2006/main">
          <x14:cfRule type="containsText" priority="294" operator="containsText" id="{1B215F32-2576-4F02-AF43-CBC976F83C77}">
            <xm:f>NOT(ISERROR(SEARCH(Hidden_Lists!$C$29,H86)))</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H86</xm:sqref>
        </x14:conditionalFormatting>
        <x14:conditionalFormatting xmlns:xm="http://schemas.microsoft.com/office/excel/2006/main">
          <x14:cfRule type="containsText" priority="285" operator="containsText" id="{8AD2EA98-2D98-4B7B-983C-05273ECD9392}">
            <xm:f>NOT(ISERROR(SEARCH(Hidden_Lists!$C$28,H86)))</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86" operator="containsText" id="{F655E81B-D44C-4A61-B4FD-595C9FE8A444}">
            <xm:f>NOT(ISERROR(SEARCH(Hidden_Lists!$C$27,H86)))</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H86</xm:sqref>
        </x14:conditionalFormatting>
        <x14:conditionalFormatting xmlns:xm="http://schemas.microsoft.com/office/excel/2006/main">
          <x14:cfRule type="containsText" priority="284" operator="containsText" id="{963BF90B-CBB4-4190-B698-5B03DD831D56}">
            <xm:f>NOT(ISERROR(SEARCH(Hidden_Lists!$C$29,H86)))</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H86</xm:sqref>
        </x14:conditionalFormatting>
        <x14:conditionalFormatting xmlns:xm="http://schemas.microsoft.com/office/excel/2006/main">
          <x14:cfRule type="containsText" priority="275" operator="containsText" id="{EE7BAD56-1E1A-4291-9B80-806D5AA2CDC3}">
            <xm:f>NOT(ISERROR(SEARCH(Hidden_Lists!$C$28,H89)))</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76" operator="containsText" id="{99320A7F-7EDC-40E3-8D44-E98C40716CAA}">
            <xm:f>NOT(ISERROR(SEARCH(Hidden_Lists!$C$27,H89)))</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H89</xm:sqref>
        </x14:conditionalFormatting>
        <x14:conditionalFormatting xmlns:xm="http://schemas.microsoft.com/office/excel/2006/main">
          <x14:cfRule type="containsText" priority="272" operator="containsText" id="{8B7EAA7A-48C3-41E7-B5AD-9C2BAABCB6C4}">
            <xm:f>NOT(ISERROR(SEARCH("high",H89)))</xm:f>
            <xm:f>"high"</xm:f>
            <x14:dxf>
              <fill>
                <patternFill>
                  <bgColor theme="9"/>
                </patternFill>
              </fill>
            </x14:dxf>
          </x14:cfRule>
          <x14:cfRule type="containsText" priority="273" operator="containsText" id="{4B00B916-FD00-4186-8CC7-F245E7285CAD}">
            <xm:f>NOT(ISERROR(SEARCH( "average",H89)))</xm:f>
            <xm:f xml:space="preserve"> "average"</xm:f>
            <x14:dxf>
              <fill>
                <patternFill>
                  <bgColor theme="7" tint="0.59996337778862885"/>
                </patternFill>
              </fill>
            </x14:dxf>
          </x14:cfRule>
          <x14:cfRule type="containsText" priority="274" operator="containsText" id="{35840943-442D-45C3-8FE4-2548E4AEF3F2}">
            <xm:f>NOT(ISERROR(SEARCH( "weak",H89)))</xm:f>
            <xm:f xml:space="preserve"> "weak"</xm:f>
            <x14:dxf>
              <fill>
                <patternFill>
                  <fgColor auto="1"/>
                  <bgColor rgb="FFFF7D7D"/>
                </patternFill>
              </fill>
            </x14:dxf>
          </x14:cfRule>
          <xm:sqref>H89</xm:sqref>
        </x14:conditionalFormatting>
        <x14:conditionalFormatting xmlns:xm="http://schemas.microsoft.com/office/excel/2006/main">
          <x14:cfRule type="containsText" priority="271" operator="containsText" id="{F1FF7372-5548-456C-AFBF-8DAC27B874E6}">
            <xm:f>NOT(ISERROR(SEARCH(Hidden_Lists!$C$29,H89)))</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H89</xm:sqref>
        </x14:conditionalFormatting>
        <x14:conditionalFormatting xmlns:xm="http://schemas.microsoft.com/office/excel/2006/main">
          <x14:cfRule type="containsText" priority="262" operator="containsText" id="{9B17393B-42D7-4AF6-8758-B65DDCB1FA40}">
            <xm:f>NOT(ISERROR(SEARCH(Hidden_Lists!$C$28,H89)))</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63" operator="containsText" id="{C6531A11-8DE0-44D7-9222-63DD46D400E9}">
            <xm:f>NOT(ISERROR(SEARCH(Hidden_Lists!$C$27,H89)))</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H89</xm:sqref>
        </x14:conditionalFormatting>
        <x14:conditionalFormatting xmlns:xm="http://schemas.microsoft.com/office/excel/2006/main">
          <x14:cfRule type="containsText" priority="261" operator="containsText" id="{38E52B28-245D-48AD-AAE9-C44BAAC50520}">
            <xm:f>NOT(ISERROR(SEARCH(Hidden_Lists!$C$29,H89)))</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H89</xm:sqref>
        </x14:conditionalFormatting>
        <x14:conditionalFormatting xmlns:xm="http://schemas.microsoft.com/office/excel/2006/main">
          <x14:cfRule type="containsText" priority="252" operator="containsText" id="{DBDB3512-3E2A-4D87-AB00-9DBF46D0CEFD}">
            <xm:f>NOT(ISERROR(SEARCH(Hidden_Lists!$C$28,H90)))</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53" operator="containsText" id="{4AA3E31D-F33A-4724-862F-1093064016F2}">
            <xm:f>NOT(ISERROR(SEARCH(Hidden_Lists!$C$27,H90)))</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H90</xm:sqref>
        </x14:conditionalFormatting>
        <x14:conditionalFormatting xmlns:xm="http://schemas.microsoft.com/office/excel/2006/main">
          <x14:cfRule type="containsText" priority="249" operator="containsText" id="{C35DB9C9-2FB7-4263-AE26-09CCF0AD0E8B}">
            <xm:f>NOT(ISERROR(SEARCH("high",H90)))</xm:f>
            <xm:f>"high"</xm:f>
            <x14:dxf>
              <fill>
                <patternFill>
                  <bgColor theme="9"/>
                </patternFill>
              </fill>
            </x14:dxf>
          </x14:cfRule>
          <x14:cfRule type="containsText" priority="250" operator="containsText" id="{03E0A126-B64C-4473-980C-27012DF485C7}">
            <xm:f>NOT(ISERROR(SEARCH( "average",H90)))</xm:f>
            <xm:f xml:space="preserve"> "average"</xm:f>
            <x14:dxf>
              <fill>
                <patternFill>
                  <bgColor theme="7" tint="0.59996337778862885"/>
                </patternFill>
              </fill>
            </x14:dxf>
          </x14:cfRule>
          <x14:cfRule type="containsText" priority="251" operator="containsText" id="{C047EF0E-A065-4140-9077-0C89EF24396F}">
            <xm:f>NOT(ISERROR(SEARCH( "weak",H90)))</xm:f>
            <xm:f xml:space="preserve"> "weak"</xm:f>
            <x14:dxf>
              <fill>
                <patternFill>
                  <fgColor auto="1"/>
                  <bgColor rgb="FFFF7D7D"/>
                </patternFill>
              </fill>
            </x14:dxf>
          </x14:cfRule>
          <xm:sqref>H90</xm:sqref>
        </x14:conditionalFormatting>
        <x14:conditionalFormatting xmlns:xm="http://schemas.microsoft.com/office/excel/2006/main">
          <x14:cfRule type="containsText" priority="248" operator="containsText" id="{BC7DCDC4-DB83-4239-A043-A1E5C1042CE3}">
            <xm:f>NOT(ISERROR(SEARCH(Hidden_Lists!$C$29,H90)))</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H90</xm:sqref>
        </x14:conditionalFormatting>
        <x14:conditionalFormatting xmlns:xm="http://schemas.microsoft.com/office/excel/2006/main">
          <x14:cfRule type="containsText" priority="239" operator="containsText" id="{DF2C1A27-12D3-4F43-866A-C28EA3C0B632}">
            <xm:f>NOT(ISERROR(SEARCH(Hidden_Lists!$C$28,H90)))</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40" operator="containsText" id="{9974E517-E7D1-47DE-A83B-B8599E298712}">
            <xm:f>NOT(ISERROR(SEARCH(Hidden_Lists!$C$27,H90)))</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H90</xm:sqref>
        </x14:conditionalFormatting>
        <x14:conditionalFormatting xmlns:xm="http://schemas.microsoft.com/office/excel/2006/main">
          <x14:cfRule type="containsText" priority="238" operator="containsText" id="{FC97CD17-B144-4926-B3E3-CB96BB3AF9DC}">
            <xm:f>NOT(ISERROR(SEARCH(Hidden_Lists!$C$29,H90)))</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H90</xm:sqref>
        </x14:conditionalFormatting>
        <x14:conditionalFormatting xmlns:xm="http://schemas.microsoft.com/office/excel/2006/main">
          <x14:cfRule type="containsText" priority="229" operator="containsText" id="{049A0A95-5939-41F1-9F19-CBFB157A2187}">
            <xm:f>NOT(ISERROR(SEARCH(Hidden_Lists!$C$28,H91)))</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30" operator="containsText" id="{C7F3C044-4EBF-4B97-A680-3F15FED28A7D}">
            <xm:f>NOT(ISERROR(SEARCH(Hidden_Lists!$C$27,H91)))</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H91</xm:sqref>
        </x14:conditionalFormatting>
        <x14:conditionalFormatting xmlns:xm="http://schemas.microsoft.com/office/excel/2006/main">
          <x14:cfRule type="containsText" priority="226" operator="containsText" id="{3BF3675C-A2E8-47B0-9C16-03FD49C1A56E}">
            <xm:f>NOT(ISERROR(SEARCH("high",H91)))</xm:f>
            <xm:f>"high"</xm:f>
            <x14:dxf>
              <fill>
                <patternFill>
                  <bgColor theme="9"/>
                </patternFill>
              </fill>
            </x14:dxf>
          </x14:cfRule>
          <x14:cfRule type="containsText" priority="227" operator="containsText" id="{70A0CA48-FE3D-4530-8FE0-5C85AC765464}">
            <xm:f>NOT(ISERROR(SEARCH( "average",H91)))</xm:f>
            <xm:f xml:space="preserve"> "average"</xm:f>
            <x14:dxf>
              <fill>
                <patternFill>
                  <bgColor theme="7" tint="0.59996337778862885"/>
                </patternFill>
              </fill>
            </x14:dxf>
          </x14:cfRule>
          <x14:cfRule type="containsText" priority="228" operator="containsText" id="{AAB3154D-2ED4-4A40-B1F0-5355D96D974F}">
            <xm:f>NOT(ISERROR(SEARCH( "weak",H91)))</xm:f>
            <xm:f xml:space="preserve"> "weak"</xm:f>
            <x14:dxf>
              <fill>
                <patternFill>
                  <fgColor auto="1"/>
                  <bgColor rgb="FFFF7D7D"/>
                </patternFill>
              </fill>
            </x14:dxf>
          </x14:cfRule>
          <xm:sqref>H91</xm:sqref>
        </x14:conditionalFormatting>
        <x14:conditionalFormatting xmlns:xm="http://schemas.microsoft.com/office/excel/2006/main">
          <x14:cfRule type="containsText" priority="225" operator="containsText" id="{54FF72C6-4D6E-490E-B6B4-9A4266E5A2D3}">
            <xm:f>NOT(ISERROR(SEARCH(Hidden_Lists!$C$29,H91)))</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H91</xm:sqref>
        </x14:conditionalFormatting>
        <x14:conditionalFormatting xmlns:xm="http://schemas.microsoft.com/office/excel/2006/main">
          <x14:cfRule type="containsText" priority="216" operator="containsText" id="{44A8F015-F4B8-49E0-B282-74C62F97E29C}">
            <xm:f>NOT(ISERROR(SEARCH(Hidden_Lists!$C$28,H91)))</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17" operator="containsText" id="{D395AFBC-BD59-422C-BF34-A3B4A7F23C75}">
            <xm:f>NOT(ISERROR(SEARCH(Hidden_Lists!$C$27,H91)))</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H91</xm:sqref>
        </x14:conditionalFormatting>
        <x14:conditionalFormatting xmlns:xm="http://schemas.microsoft.com/office/excel/2006/main">
          <x14:cfRule type="containsText" priority="215" operator="containsText" id="{68F1913A-D1F5-4D7B-A590-FBDFB9131199}">
            <xm:f>NOT(ISERROR(SEARCH(Hidden_Lists!$C$29,H91)))</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H91</xm:sqref>
        </x14:conditionalFormatting>
        <x14:conditionalFormatting xmlns:xm="http://schemas.microsoft.com/office/excel/2006/main">
          <x14:cfRule type="containsText" priority="206" operator="containsText" id="{65C04987-BA4A-4FB6-8DFA-F79D249B46DA}">
            <xm:f>NOT(ISERROR(SEARCH(Hidden_Lists!$C$28,H92)))</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07" operator="containsText" id="{08131220-366A-442F-BEF9-9EC2D16A6F3E}">
            <xm:f>NOT(ISERROR(SEARCH(Hidden_Lists!$C$27,H92)))</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H92</xm:sqref>
        </x14:conditionalFormatting>
        <x14:conditionalFormatting xmlns:xm="http://schemas.microsoft.com/office/excel/2006/main">
          <x14:cfRule type="containsText" priority="203" operator="containsText" id="{5FDD2FCE-204B-49A5-B81F-15536B496723}">
            <xm:f>NOT(ISERROR(SEARCH("high",H92)))</xm:f>
            <xm:f>"high"</xm:f>
            <x14:dxf>
              <fill>
                <patternFill>
                  <bgColor theme="9"/>
                </patternFill>
              </fill>
            </x14:dxf>
          </x14:cfRule>
          <x14:cfRule type="containsText" priority="204" operator="containsText" id="{CF65905E-7AB1-4538-A87D-8B4C59BCEF91}">
            <xm:f>NOT(ISERROR(SEARCH( "average",H92)))</xm:f>
            <xm:f xml:space="preserve"> "average"</xm:f>
            <x14:dxf>
              <fill>
                <patternFill>
                  <bgColor theme="7" tint="0.59996337778862885"/>
                </patternFill>
              </fill>
            </x14:dxf>
          </x14:cfRule>
          <x14:cfRule type="containsText" priority="205" operator="containsText" id="{4AEE0E9C-987F-4CE2-80F0-DF6DDECDA6A2}">
            <xm:f>NOT(ISERROR(SEARCH( "weak",H92)))</xm:f>
            <xm:f xml:space="preserve"> "weak"</xm:f>
            <x14:dxf>
              <fill>
                <patternFill>
                  <fgColor auto="1"/>
                  <bgColor rgb="FFFF7D7D"/>
                </patternFill>
              </fill>
            </x14:dxf>
          </x14:cfRule>
          <xm:sqref>H92</xm:sqref>
        </x14:conditionalFormatting>
        <x14:conditionalFormatting xmlns:xm="http://schemas.microsoft.com/office/excel/2006/main">
          <x14:cfRule type="containsText" priority="202" operator="containsText" id="{3A66BB02-AE3D-4C42-A47E-6605F21BCA8F}">
            <xm:f>NOT(ISERROR(SEARCH(Hidden_Lists!$C$29,H92)))</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H92</xm:sqref>
        </x14:conditionalFormatting>
        <x14:conditionalFormatting xmlns:xm="http://schemas.microsoft.com/office/excel/2006/main">
          <x14:cfRule type="containsText" priority="193" operator="containsText" id="{BD6674AD-BDE7-4862-814D-36F4911D4A12}">
            <xm:f>NOT(ISERROR(SEARCH(Hidden_Lists!$C$28,H92)))</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94" operator="containsText" id="{BE6B0BB2-30F9-4172-98D0-ADEC9A5D914F}">
            <xm:f>NOT(ISERROR(SEARCH(Hidden_Lists!$C$27,H92)))</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H92</xm:sqref>
        </x14:conditionalFormatting>
        <x14:conditionalFormatting xmlns:xm="http://schemas.microsoft.com/office/excel/2006/main">
          <x14:cfRule type="containsText" priority="192" operator="containsText" id="{2C7E8837-CB1F-4CA2-8D91-9B215A27950F}">
            <xm:f>NOT(ISERROR(SEARCH(Hidden_Lists!$C$29,H92)))</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H92</xm:sqref>
        </x14:conditionalFormatting>
        <x14:conditionalFormatting xmlns:xm="http://schemas.microsoft.com/office/excel/2006/main">
          <x14:cfRule type="containsText" priority="183" operator="containsText" id="{DBB131CF-8632-4FAA-B3A9-DCB55A7D1440}">
            <xm:f>NOT(ISERROR(SEARCH(Hidden_Lists!$C$28,H94)))</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84" operator="containsText" id="{BA0AA074-778B-4319-BF61-1C346F90363D}">
            <xm:f>NOT(ISERROR(SEARCH(Hidden_Lists!$C$27,H94)))</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H94</xm:sqref>
        </x14:conditionalFormatting>
        <x14:conditionalFormatting xmlns:xm="http://schemas.microsoft.com/office/excel/2006/main">
          <x14:cfRule type="containsText" priority="179" operator="containsText" id="{5968CD24-8AB5-4926-AB60-FBC1407CC397}">
            <xm:f>NOT(ISERROR(SEARCH(Hidden_Lists!$C$29,H94)))</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H94</xm:sqref>
        </x14:conditionalFormatting>
        <x14:conditionalFormatting xmlns:xm="http://schemas.microsoft.com/office/excel/2006/main">
          <x14:cfRule type="containsText" priority="170" operator="containsText" id="{0D0960D6-A779-49AD-AB41-FC729C7146A4}">
            <xm:f>NOT(ISERROR(SEARCH(Hidden_Lists!$C$28,H94)))</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71" operator="containsText" id="{2FE04A05-A25F-4D93-A615-E417AEBC215D}">
            <xm:f>NOT(ISERROR(SEARCH(Hidden_Lists!$C$27,H94)))</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H94</xm:sqref>
        </x14:conditionalFormatting>
        <x14:conditionalFormatting xmlns:xm="http://schemas.microsoft.com/office/excel/2006/main">
          <x14:cfRule type="containsText" priority="169" operator="containsText" id="{417B1DBA-A3B6-4851-87C4-33629254C964}">
            <xm:f>NOT(ISERROR(SEARCH(Hidden_Lists!$C$29,H94)))</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H94</xm:sqref>
        </x14:conditionalFormatting>
        <x14:conditionalFormatting xmlns:xm="http://schemas.microsoft.com/office/excel/2006/main">
          <x14:cfRule type="containsText" priority="160" operator="containsText" id="{8195E4EA-8538-4B0C-AB07-1D12EFD1CF4B}">
            <xm:f>NOT(ISERROR(SEARCH(Hidden_Lists!$C$28,H93)))</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61" operator="containsText" id="{A981BC23-6363-4B33-9242-32BE0C5DD7E7}">
            <xm:f>NOT(ISERROR(SEARCH(Hidden_Lists!$C$27,H93)))</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H93</xm:sqref>
        </x14:conditionalFormatting>
        <x14:conditionalFormatting xmlns:xm="http://schemas.microsoft.com/office/excel/2006/main">
          <x14:cfRule type="containsText" priority="157" operator="containsText" id="{A60A91EE-B1AE-4B02-B8E0-94735C2C7209}">
            <xm:f>NOT(ISERROR(SEARCH("high",H93)))</xm:f>
            <xm:f>"high"</xm:f>
            <x14:dxf>
              <fill>
                <patternFill>
                  <bgColor theme="9"/>
                </patternFill>
              </fill>
            </x14:dxf>
          </x14:cfRule>
          <x14:cfRule type="containsText" priority="158" operator="containsText" id="{0DE519D2-FB3B-4E90-A786-B3F4343CCBDF}">
            <xm:f>NOT(ISERROR(SEARCH( "average",H93)))</xm:f>
            <xm:f xml:space="preserve"> "average"</xm:f>
            <x14:dxf>
              <fill>
                <patternFill>
                  <bgColor theme="7" tint="0.59996337778862885"/>
                </patternFill>
              </fill>
            </x14:dxf>
          </x14:cfRule>
          <x14:cfRule type="containsText" priority="159" operator="containsText" id="{64D3C6F8-B44D-4CED-B594-3C76CAD07C03}">
            <xm:f>NOT(ISERROR(SEARCH( "weak",H93)))</xm:f>
            <xm:f xml:space="preserve"> "weak"</xm:f>
            <x14:dxf>
              <fill>
                <patternFill>
                  <fgColor auto="1"/>
                  <bgColor rgb="FFFF7D7D"/>
                </patternFill>
              </fill>
            </x14:dxf>
          </x14:cfRule>
          <xm:sqref>H93</xm:sqref>
        </x14:conditionalFormatting>
        <x14:conditionalFormatting xmlns:xm="http://schemas.microsoft.com/office/excel/2006/main">
          <x14:cfRule type="containsText" priority="156" operator="containsText" id="{BB4E214B-17ED-4040-BC6B-D54480CF5D3F}">
            <xm:f>NOT(ISERROR(SEARCH(Hidden_Lists!$C$29,H93)))</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H93</xm:sqref>
        </x14:conditionalFormatting>
        <x14:conditionalFormatting xmlns:xm="http://schemas.microsoft.com/office/excel/2006/main">
          <x14:cfRule type="containsText" priority="147" operator="containsText" id="{39ADFDF1-21B3-4C8F-847D-75C451C95677}">
            <xm:f>NOT(ISERROR(SEARCH(Hidden_Lists!$C$28,H93)))</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48" operator="containsText" id="{44780E4E-B8D3-47EE-AF26-7A87852A7F58}">
            <xm:f>NOT(ISERROR(SEARCH(Hidden_Lists!$C$27,H93)))</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H93</xm:sqref>
        </x14:conditionalFormatting>
        <x14:conditionalFormatting xmlns:xm="http://schemas.microsoft.com/office/excel/2006/main">
          <x14:cfRule type="containsText" priority="146" operator="containsText" id="{52B37D3F-CB75-49C2-BCA9-37FE2C906F20}">
            <xm:f>NOT(ISERROR(SEARCH(Hidden_Lists!$C$29,H93)))</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H93</xm:sqref>
        </x14:conditionalFormatting>
        <x14:conditionalFormatting xmlns:xm="http://schemas.microsoft.com/office/excel/2006/main">
          <x14:cfRule type="containsText" priority="137" operator="containsText" id="{7B74B5D7-1C98-4E43-9383-D55439C5FE9C}">
            <xm:f>NOT(ISERROR(SEARCH(Hidden_Lists!$C$28,H95)))</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38" operator="containsText" id="{DB16B123-E911-43B9-90F3-782A673DE3EB}">
            <xm:f>NOT(ISERROR(SEARCH(Hidden_Lists!$C$27,H95)))</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H95</xm:sqref>
        </x14:conditionalFormatting>
        <x14:conditionalFormatting xmlns:xm="http://schemas.microsoft.com/office/excel/2006/main">
          <x14:cfRule type="containsText" priority="134" operator="containsText" id="{7E85CFC8-4D55-42D3-B7C1-6574120D3D45}">
            <xm:f>NOT(ISERROR(SEARCH("high",H95)))</xm:f>
            <xm:f>"high"</xm:f>
            <x14:dxf>
              <fill>
                <patternFill>
                  <bgColor theme="9"/>
                </patternFill>
              </fill>
            </x14:dxf>
          </x14:cfRule>
          <x14:cfRule type="containsText" priority="135" operator="containsText" id="{5AD901DF-6FEC-46EE-AB26-88A4F7F337BC}">
            <xm:f>NOT(ISERROR(SEARCH( "average",H95)))</xm:f>
            <xm:f xml:space="preserve"> "average"</xm:f>
            <x14:dxf>
              <fill>
                <patternFill>
                  <bgColor theme="7" tint="0.59996337778862885"/>
                </patternFill>
              </fill>
            </x14:dxf>
          </x14:cfRule>
          <x14:cfRule type="containsText" priority="136" operator="containsText" id="{30480D5F-3BDC-42AA-BF4F-3409C72F281F}">
            <xm:f>NOT(ISERROR(SEARCH( "weak",H95)))</xm:f>
            <xm:f xml:space="preserve"> "weak"</xm:f>
            <x14:dxf>
              <fill>
                <patternFill>
                  <fgColor auto="1"/>
                  <bgColor rgb="FFFF7D7D"/>
                </patternFill>
              </fill>
            </x14:dxf>
          </x14:cfRule>
          <xm:sqref>H95</xm:sqref>
        </x14:conditionalFormatting>
        <x14:conditionalFormatting xmlns:xm="http://schemas.microsoft.com/office/excel/2006/main">
          <x14:cfRule type="containsText" priority="133" operator="containsText" id="{12077554-A640-494B-852C-7B7EA1094CE0}">
            <xm:f>NOT(ISERROR(SEARCH(Hidden_Lists!$C$29,H95)))</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H95</xm:sqref>
        </x14:conditionalFormatting>
        <x14:conditionalFormatting xmlns:xm="http://schemas.microsoft.com/office/excel/2006/main">
          <x14:cfRule type="containsText" priority="124" operator="containsText" id="{13C38F4C-FF04-4E54-B46D-BC4751362905}">
            <xm:f>NOT(ISERROR(SEARCH(Hidden_Lists!$C$28,H95)))</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25" operator="containsText" id="{68D338E9-113D-4387-92F2-A7BCCDB65F1F}">
            <xm:f>NOT(ISERROR(SEARCH(Hidden_Lists!$C$27,H95)))</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H95</xm:sqref>
        </x14:conditionalFormatting>
        <x14:conditionalFormatting xmlns:xm="http://schemas.microsoft.com/office/excel/2006/main">
          <x14:cfRule type="containsText" priority="123" operator="containsText" id="{FCE7AD25-92CB-4332-9670-465807A53434}">
            <xm:f>NOT(ISERROR(SEARCH(Hidden_Lists!$C$29,H95)))</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H95</xm:sqref>
        </x14:conditionalFormatting>
        <x14:conditionalFormatting xmlns:xm="http://schemas.microsoft.com/office/excel/2006/main">
          <x14:cfRule type="containsText" priority="114" operator="containsText" id="{E619B6A3-35A3-4AB0-84A6-596854573E65}">
            <xm:f>NOT(ISERROR(SEARCH(Hidden_Lists!$C$28,H96)))</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15" operator="containsText" id="{8A54BEA6-5F82-4240-95A3-C4732CC5C96A}">
            <xm:f>NOT(ISERROR(SEARCH(Hidden_Lists!$C$27,H96)))</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H96</xm:sqref>
        </x14:conditionalFormatting>
        <x14:conditionalFormatting xmlns:xm="http://schemas.microsoft.com/office/excel/2006/main">
          <x14:cfRule type="containsText" priority="111" operator="containsText" id="{E52D24BC-A8BF-498C-862E-8C9396C227F0}">
            <xm:f>NOT(ISERROR(SEARCH("high",H96)))</xm:f>
            <xm:f>"high"</xm:f>
            <x14:dxf>
              <fill>
                <patternFill>
                  <bgColor theme="9"/>
                </patternFill>
              </fill>
            </x14:dxf>
          </x14:cfRule>
          <x14:cfRule type="containsText" priority="112" operator="containsText" id="{5817CC1A-7513-4E7C-BC0B-16AFE558C9F8}">
            <xm:f>NOT(ISERROR(SEARCH( "average",H96)))</xm:f>
            <xm:f xml:space="preserve"> "average"</xm:f>
            <x14:dxf>
              <fill>
                <patternFill>
                  <bgColor theme="7" tint="0.59996337778862885"/>
                </patternFill>
              </fill>
            </x14:dxf>
          </x14:cfRule>
          <x14:cfRule type="containsText" priority="113" operator="containsText" id="{542C3539-CEEA-466F-B1C6-0F5C5D371160}">
            <xm:f>NOT(ISERROR(SEARCH( "weak",H96)))</xm:f>
            <xm:f xml:space="preserve"> "weak"</xm:f>
            <x14:dxf>
              <fill>
                <patternFill>
                  <fgColor auto="1"/>
                  <bgColor rgb="FFFF7D7D"/>
                </patternFill>
              </fill>
            </x14:dxf>
          </x14:cfRule>
          <xm:sqref>H96</xm:sqref>
        </x14:conditionalFormatting>
        <x14:conditionalFormatting xmlns:xm="http://schemas.microsoft.com/office/excel/2006/main">
          <x14:cfRule type="containsText" priority="110" operator="containsText" id="{4B1F38A7-2412-43AC-8D86-D5ADB6984E4C}">
            <xm:f>NOT(ISERROR(SEARCH(Hidden_Lists!$C$29,H96)))</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H96</xm:sqref>
        </x14:conditionalFormatting>
        <x14:conditionalFormatting xmlns:xm="http://schemas.microsoft.com/office/excel/2006/main">
          <x14:cfRule type="containsText" priority="101" operator="containsText" id="{0BEA121B-9BAA-4A1C-A6C6-F2EFDEFB3F01}">
            <xm:f>NOT(ISERROR(SEARCH(Hidden_Lists!$C$28,H96)))</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102" operator="containsText" id="{22FD7D5E-568D-44FF-A409-7E087BC2EF2E}">
            <xm:f>NOT(ISERROR(SEARCH(Hidden_Lists!$C$27,H96)))</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H96</xm:sqref>
        </x14:conditionalFormatting>
        <x14:conditionalFormatting xmlns:xm="http://schemas.microsoft.com/office/excel/2006/main">
          <x14:cfRule type="containsText" priority="100" operator="containsText" id="{C0EDFAA6-803D-4925-B4C1-A18A015DA8A1}">
            <xm:f>NOT(ISERROR(SEARCH(Hidden_Lists!$C$29,H96)))</xm:f>
            <xm:f>Hidden_Lists!$C$29</xm:f>
            <x14:dxf>
              <fill>
                <patternFill>
                  <bgColor theme="8" tint="0.39994506668294322"/>
                </patternFill>
              </fill>
              <border>
                <left style="thin">
                  <color auto="1"/>
                </left>
                <right style="thin">
                  <color auto="1"/>
                </right>
                <top style="thin">
                  <color auto="1"/>
                </top>
                <bottom style="thin">
                  <color auto="1"/>
                </bottom>
                <vertical/>
                <horizontal/>
              </border>
            </x14:dxf>
          </x14:cfRule>
          <xm:sqref>H96</xm:sqref>
        </x14:conditionalFormatting>
        <x14:conditionalFormatting xmlns:xm="http://schemas.microsoft.com/office/excel/2006/main">
          <x14:cfRule type="containsText" priority="22" operator="containsText" id="{8463D6E1-05CF-48E3-836D-0CBECF470324}">
            <xm:f>NOT(ISERROR(SEARCH(Hidden_Lists!$C$28,H97)))</xm:f>
            <xm:f>Hidden_Lists!$C$28</xm:f>
            <x14:dxf>
              <fill>
                <patternFill>
                  <bgColor theme="8" tint="0.59996337778862885"/>
                </patternFill>
              </fill>
              <border>
                <left style="thin">
                  <color auto="1"/>
                </left>
                <right style="thin">
                  <color auto="1"/>
                </right>
                <top style="thin">
                  <color auto="1"/>
                </top>
                <bottom style="thin">
                  <color auto="1"/>
                </bottom>
              </border>
            </x14:dxf>
          </x14:cfRule>
          <x14:cfRule type="containsText" priority="23" operator="containsText" id="{5168E9DB-55D0-4FA9-AECB-732A0AF0D4E3}">
            <xm:f>NOT(ISERROR(SEARCH(Hidden_Lists!$C$27,H97)))</xm:f>
            <xm:f>Hidden_Lists!$C$27</xm:f>
            <x14:dxf>
              <fill>
                <patternFill>
                  <fgColor auto="1"/>
                  <bgColor theme="8" tint="0.79998168889431442"/>
                </patternFill>
              </fill>
              <border>
                <left style="thin">
                  <color auto="1"/>
                </left>
                <right style="thin">
                  <color auto="1"/>
                </right>
                <top style="thin">
                  <color auto="1"/>
                </top>
                <bottom style="thin">
                  <color auto="1"/>
                </bottom>
              </border>
            </x14:dxf>
          </x14:cfRule>
          <xm:sqref>H97:H100</xm:sqref>
        </x14:conditionalFormatting>
        <x14:conditionalFormatting xmlns:xm="http://schemas.microsoft.com/office/excel/2006/main">
          <x14:cfRule type="containsText" priority="19" operator="containsText" id="{9E8C701A-0DDC-4E11-A9A6-4468FFE5B57B}">
            <xm:f>NOT(ISERROR(SEARCH("high",H97)))</xm:f>
            <xm:f>"high"</xm:f>
            <x14:dxf>
              <fill>
                <patternFill>
                  <bgColor theme="9"/>
                </patternFill>
              </fill>
            </x14:dxf>
          </x14:cfRule>
          <x14:cfRule type="containsText" priority="20" operator="containsText" id="{A2076F9B-9A34-47FD-8172-06A89759D47C}">
            <xm:f>NOT(ISERROR(SEARCH( "average",H97)))</xm:f>
            <xm:f xml:space="preserve"> "average"</xm:f>
            <x14:dxf>
              <fill>
                <patternFill>
                  <bgColor theme="7" tint="0.59996337778862885"/>
                </patternFill>
              </fill>
            </x14:dxf>
          </x14:cfRule>
          <x14:cfRule type="containsText" priority="21" operator="containsText" id="{C9CE2949-A631-4973-B844-7770AA508E2B}">
            <xm:f>NOT(ISERROR(SEARCH( "weak",H97)))</xm:f>
            <xm:f xml:space="preserve"> "weak"</xm:f>
            <x14:dxf>
              <fill>
                <patternFill>
                  <fgColor auto="1"/>
                  <bgColor rgb="FFFF7D7D"/>
                </patternFill>
              </fill>
            </x14:dxf>
          </x14:cfRule>
          <xm:sqref>H97:H100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Hidden_Lists!$C$22:$C$23</xm:f>
          </x14:formula1>
          <xm:sqref>G36:G48 I51:K58 I61:K63 I36:K48 G61:G63 G66:G68 G51:G58 G81:G86 I66:K68 G71:G78 I81:K86 I71:K78 I89:K105 G89:G100</xm:sqref>
        </x14:dataValidation>
        <x14:dataValidation type="list" allowBlank="1" showInputMessage="1" showErrorMessage="1">
          <x14:formula1>
            <xm:f>Hidden_Lists!$C$25:$C$29</xm:f>
          </x14:formula1>
          <xm:sqref>H51:H58 H36:H48 H81:H86 H61:H63 H66:H68 H71:H78 H89:H100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0"/>
  <sheetViews>
    <sheetView zoomScaleNormal="100" workbookViewId="0">
      <selection activeCell="D40" sqref="D40"/>
    </sheetView>
  </sheetViews>
  <sheetFormatPr baseColWidth="10" defaultColWidth="11" defaultRowHeight="15.75"/>
  <cols>
    <col min="1" max="2" width="3.625" style="1" customWidth="1"/>
    <col min="3" max="3" width="30.625" style="1" customWidth="1"/>
    <col min="4" max="4" width="25.625" style="1" customWidth="1"/>
    <col min="5" max="5" width="20.625" style="1" customWidth="1"/>
    <col min="6" max="7" width="30.625" style="1" customWidth="1"/>
    <col min="8" max="16384" width="11" style="1"/>
  </cols>
  <sheetData>
    <row r="1" spans="1:10" ht="15" customHeight="1">
      <c r="A1" s="47"/>
      <c r="B1" s="47"/>
      <c r="C1" s="47"/>
      <c r="D1" s="47"/>
      <c r="E1" s="47"/>
      <c r="F1" s="47"/>
      <c r="G1" s="47"/>
      <c r="H1" s="47"/>
      <c r="I1" s="47"/>
      <c r="J1" s="47"/>
    </row>
    <row r="2" spans="1:10" ht="18.75">
      <c r="A2" s="12"/>
      <c r="B2" s="33" t="str">
        <f>VLOOKUP("General_Header",Hidden_Translations!$B$11:$J$129,Hidden_Translations!$C$8,FALSE)</f>
        <v>Improving Cold Chain Energy Efficiency (ICCEE project)</v>
      </c>
      <c r="C2" s="27"/>
      <c r="D2" s="27"/>
      <c r="E2" s="27"/>
      <c r="F2" s="27"/>
      <c r="G2" s="39"/>
      <c r="H2" s="47"/>
      <c r="I2" s="47"/>
      <c r="J2" s="47"/>
    </row>
    <row r="3" spans="1:10" ht="15" customHeight="1">
      <c r="A3" s="12"/>
      <c r="B3" s="12"/>
      <c r="C3" s="12"/>
      <c r="D3" s="12"/>
      <c r="E3" s="12"/>
      <c r="F3" s="12"/>
      <c r="G3" s="12"/>
      <c r="H3" s="47"/>
      <c r="I3" s="47"/>
      <c r="J3" s="47"/>
    </row>
    <row r="4" spans="1:10" ht="18.75">
      <c r="A4" s="12"/>
      <c r="B4" s="35" t="str">
        <f>VLOOKUP("Analysis_Header",Hidden_Translations!$B$11:$K$1045,Hidden_Translations!$C$8,FALSE)</f>
        <v>#5: NEB Evaluator: Analyse relevant non-energy benefits in more detail</v>
      </c>
      <c r="C4" s="35"/>
      <c r="D4" s="35"/>
      <c r="E4" s="35"/>
      <c r="F4" s="35"/>
      <c r="G4" s="35"/>
      <c r="H4" s="47"/>
      <c r="I4" s="47"/>
      <c r="J4" s="47"/>
    </row>
    <row r="5" spans="1:10" ht="15" customHeight="1">
      <c r="A5" s="12"/>
      <c r="B5" s="13"/>
      <c r="C5" s="14"/>
      <c r="D5" s="14"/>
      <c r="E5" s="14"/>
      <c r="F5" s="14"/>
      <c r="G5" s="14"/>
      <c r="H5" s="47"/>
      <c r="I5" s="47"/>
      <c r="J5" s="47"/>
    </row>
    <row r="6" spans="1:10" ht="45" customHeight="1">
      <c r="A6" s="12"/>
      <c r="B6" s="170" t="str">
        <f>VLOOKUP("Analysis_Header_Text",Hidden_Translations!$B$11:$K$1045,Hidden_Translations!$C$8,FALSE)</f>
        <v>Start a detailed analysis for your chosen and prioritized NEBs. Try to assess them in a qualitative or quantitative way and monetise them if possible. To which extent are other stages in your cold supply chain affected by the NEB?</v>
      </c>
      <c r="C6" s="170"/>
      <c r="D6" s="170"/>
      <c r="E6" s="170"/>
      <c r="F6" s="170"/>
      <c r="G6" s="170"/>
      <c r="H6" s="47"/>
      <c r="I6" s="47"/>
      <c r="J6" s="47"/>
    </row>
    <row r="7" spans="1:10" ht="15" customHeight="1">
      <c r="A7" s="12"/>
      <c r="B7" s="46"/>
      <c r="C7" s="46"/>
      <c r="D7" s="46"/>
      <c r="E7" s="46"/>
      <c r="F7" s="46"/>
      <c r="G7" s="46"/>
      <c r="H7" s="47"/>
      <c r="I7" s="47"/>
      <c r="J7" s="47"/>
    </row>
    <row r="8" spans="1:10" ht="15" customHeight="1">
      <c r="A8" s="12"/>
      <c r="B8" s="87" t="str">
        <f>VLOOKUP("Analysis_Overview",Hidden_Translations!$B$11:$K$1045,Hidden_Translations!$C$8,FALSE)</f>
        <v>Overview of prioritized NEBs for your EEM</v>
      </c>
      <c r="C8" s="88"/>
      <c r="D8" s="88"/>
      <c r="E8" s="88"/>
      <c r="F8" s="88"/>
      <c r="G8" s="87"/>
      <c r="H8" s="47"/>
      <c r="I8" s="47"/>
      <c r="J8" s="47"/>
    </row>
    <row r="9" spans="1:10" ht="15" customHeight="1">
      <c r="A9" s="40"/>
      <c r="B9" s="41"/>
      <c r="C9" s="40"/>
      <c r="D9" s="40"/>
      <c r="E9" s="40"/>
      <c r="F9" s="40"/>
      <c r="G9" s="40"/>
      <c r="H9" s="48"/>
      <c r="I9" s="48"/>
      <c r="J9" s="48"/>
    </row>
    <row r="10" spans="1:10" ht="30" customHeight="1">
      <c r="A10" s="40"/>
      <c r="B10" s="174" t="str">
        <f>VLOOKUP("Analysis_Overview_Text",Hidden_Translations!$B$11:$K$1045,Hidden_Translations!$C$8,FALSE)</f>
        <v>Below you find an overview of your previously identified NEBs classified by their contribution to the strategy according to value propostion increase, cost decrease and risk reduction for your EEM.</v>
      </c>
      <c r="C10" s="174"/>
      <c r="D10" s="174"/>
      <c r="E10" s="174"/>
      <c r="F10" s="174"/>
      <c r="G10" s="174"/>
      <c r="H10" s="48"/>
      <c r="I10" s="48"/>
      <c r="J10" s="48"/>
    </row>
    <row r="11" spans="1:10" ht="15" customHeight="1">
      <c r="A11" s="40"/>
      <c r="B11" s="41"/>
      <c r="C11" s="40"/>
      <c r="D11" s="40"/>
      <c r="E11" s="40"/>
      <c r="F11" s="40"/>
      <c r="G11" s="40"/>
      <c r="H11" s="48"/>
      <c r="I11" s="48"/>
      <c r="J11" s="48"/>
    </row>
    <row r="12" spans="1:10">
      <c r="A12" s="12"/>
      <c r="B12" s="92" t="s">
        <v>166</v>
      </c>
      <c r="C12" s="172" t="str">
        <f>VLOOKUP("Analysis_NEBs_Cost",Hidden_Translations!$B$11:$K$1045,Hidden_Translations!$C$8,FALSE)</f>
        <v>NEBs for cost decrease</v>
      </c>
      <c r="D12" s="172"/>
      <c r="E12" s="172" t="str">
        <f>VLOOKUP("Analysis_NEBs_Value",Hidden_Translations!$B$11:$K$1045,Hidden_Translations!$C$8,FALSE)</f>
        <v>NEBs for value proposition increase</v>
      </c>
      <c r="F12" s="172"/>
      <c r="G12" s="93" t="str">
        <f>VLOOKUP("Analysis_NEBs_Risk",Hidden_Translations!$B$11:$K$1045,Hidden_Translations!$C$8,FALSE)</f>
        <v>NEBs for risk reduction</v>
      </c>
      <c r="H12" s="47"/>
      <c r="I12" s="47"/>
      <c r="J12" s="47"/>
    </row>
    <row r="13" spans="1:10" ht="45" customHeight="1">
      <c r="A13" s="12"/>
      <c r="B13" s="44">
        <v>1</v>
      </c>
      <c r="C13" s="155" t="str">
        <f>IF(ISNA(VLOOKUP(1,Identification!$A$36:$K$100,4,FALSE)),"",VLOOKUP(1,Identification!$A$36:$K$100,4,FALSE))</f>
        <v/>
      </c>
      <c r="D13" s="155"/>
      <c r="E13" s="155" t="str">
        <f>IF(ISNA(VLOOKUP(1,Identification!$B$36:$K$100,3,FALSE)),"",VLOOKUP(1,Identification!$B$36:$K$100,3,FALSE))</f>
        <v/>
      </c>
      <c r="F13" s="155"/>
      <c r="G13" s="45" t="str">
        <f>IF(ISNA(VLOOKUP(1,Identification!$C$36:$K$100,2,FALSE)),"",VLOOKUP(1,Identification!$C$36:$K$100,2,FALSE))</f>
        <v/>
      </c>
      <c r="H13" s="47"/>
      <c r="I13" s="47"/>
      <c r="J13" s="47"/>
    </row>
    <row r="14" spans="1:10" ht="45" customHeight="1">
      <c r="A14" s="12"/>
      <c r="B14" s="44">
        <v>2</v>
      </c>
      <c r="C14" s="155" t="str">
        <f>IF(ISNA(VLOOKUP(2,Identification!$A$36:$K$100,4,FALSE)),"",VLOOKUP(2,Identification!$A$36:$K$100,4,FALSE))</f>
        <v/>
      </c>
      <c r="D14" s="155"/>
      <c r="E14" s="155" t="str">
        <f>IF(ISNA(VLOOKUP(2,Identification!$B$36:$K$100,3,FALSE)),"",VLOOKUP(2,Identification!$B$36:$K$100,3,FALSE))</f>
        <v/>
      </c>
      <c r="F14" s="155"/>
      <c r="G14" s="101" t="str">
        <f>IF(ISNA(VLOOKUP(2,Identification!$C$36:$K$100,2,FALSE)),"",VLOOKUP(2,Identification!$C$36:$K$100,2,FALSE))</f>
        <v/>
      </c>
      <c r="H14" s="47"/>
      <c r="I14" s="47"/>
      <c r="J14" s="47"/>
    </row>
    <row r="15" spans="1:10" ht="45" customHeight="1">
      <c r="A15" s="12"/>
      <c r="B15" s="44">
        <v>3</v>
      </c>
      <c r="C15" s="155" t="str">
        <f>IF(ISNA(VLOOKUP(4,Identification!$A$36:$K$100,4,FALSE)),"",VLOOKUP(4,Identification!$A$36:$K$100,4,FALSE))</f>
        <v/>
      </c>
      <c r="D15" s="155"/>
      <c r="E15" s="155" t="str">
        <f>IF(ISNA(VLOOKUP(4,Identification!$B$36:$K$100,3,FALSE)),"",VLOOKUP(4,Identification!$B$36:$K$100,3,FALSE))</f>
        <v/>
      </c>
      <c r="F15" s="155"/>
      <c r="G15" s="101" t="str">
        <f>IF(ISNA(VLOOKUP(4,Identification!$C$36:$K$100,2,FALSE)),"",VLOOKUP(4,Identification!$C$36:$K$100,2,FALSE))</f>
        <v/>
      </c>
      <c r="H15" s="47"/>
      <c r="I15" s="47"/>
      <c r="J15" s="47"/>
    </row>
    <row r="16" spans="1:10" ht="45" customHeight="1">
      <c r="A16" s="12"/>
      <c r="B16" s="44">
        <v>4</v>
      </c>
      <c r="C16" s="175" t="str">
        <f>IF(ISNA(VLOOKUP(8,Identification!$A$36:$K$100,4,FALSE)),"",VLOOKUP(8,Identification!$A$36:$K$100,4,FALSE))</f>
        <v/>
      </c>
      <c r="D16" s="175"/>
      <c r="E16" s="155" t="str">
        <f>IF(ISNA(VLOOKUP(8,Identification!$B$36:$K$100,3,FALSE)),"",VLOOKUP(8,Identification!$B$36:$K$100,3,FALSE))</f>
        <v/>
      </c>
      <c r="F16" s="155"/>
      <c r="G16" s="101" t="str">
        <f>IF(ISNA(VLOOKUP(8,Identification!$C$36:$K$100,2,FALSE)),"",VLOOKUP(8,Identification!$C$36:$K$100,2,FALSE))</f>
        <v/>
      </c>
      <c r="H16" s="47"/>
      <c r="I16" s="47"/>
      <c r="J16" s="47"/>
    </row>
    <row r="17" spans="1:10" ht="45" customHeight="1">
      <c r="A17" s="12"/>
      <c r="B17" s="44">
        <v>5</v>
      </c>
      <c r="C17" s="155" t="str">
        <f>IF(ISNA(VLOOKUP(16,Identification!$A$36:$K$100,4,FALSE)),"",VLOOKUP(16,Identification!$A$36:$K$100,4,FALSE))</f>
        <v/>
      </c>
      <c r="D17" s="155"/>
      <c r="E17" s="155" t="str">
        <f>IF(ISNA(VLOOKUP(16,Identification!$B$36:$K$100,3,FALSE)),"",VLOOKUP(16,Identification!$B$36:$K$100,3,FALSE))</f>
        <v/>
      </c>
      <c r="F17" s="155"/>
      <c r="G17" s="101" t="str">
        <f>IF(ISNA(VLOOKUP(16,Identification!$C$36:$K$100,2,FALSE)),"",VLOOKUP(16,Identification!$C$36:$K$100,2,FALSE))</f>
        <v/>
      </c>
      <c r="H17" s="47"/>
      <c r="I17" s="47"/>
      <c r="J17" s="47"/>
    </row>
    <row r="18" spans="1:10" ht="15" customHeight="1">
      <c r="A18" s="19"/>
      <c r="B18" s="19"/>
      <c r="C18" s="19"/>
      <c r="D18" s="12"/>
      <c r="E18" s="12"/>
      <c r="F18" s="12"/>
      <c r="G18" s="12"/>
      <c r="H18" s="12"/>
      <c r="I18" s="12"/>
      <c r="J18" s="12"/>
    </row>
    <row r="19" spans="1:10" ht="15" customHeight="1">
      <c r="A19" s="19"/>
      <c r="B19" s="87" t="str">
        <f>VLOOKUP("Analysis_Indepth",Hidden_Translations!$B$11:$K$1045,Hidden_Translations!$C$8,FALSE)</f>
        <v>In-depth analysis of your NEBs</v>
      </c>
      <c r="C19" s="88"/>
      <c r="D19" s="88"/>
      <c r="E19" s="88"/>
      <c r="F19" s="88"/>
      <c r="G19" s="87"/>
      <c r="H19" s="12"/>
      <c r="I19" s="12"/>
      <c r="J19" s="12"/>
    </row>
    <row r="20" spans="1:10" ht="15" customHeight="1">
      <c r="A20" s="19"/>
      <c r="B20" s="19"/>
      <c r="C20" s="19"/>
      <c r="D20" s="155"/>
      <c r="E20" s="155"/>
      <c r="F20" s="155"/>
      <c r="G20" s="155"/>
      <c r="H20" s="45"/>
      <c r="I20" s="12"/>
      <c r="J20" s="12"/>
    </row>
    <row r="21" spans="1:10" ht="30" customHeight="1">
      <c r="A21" s="19"/>
      <c r="B21" s="170" t="str">
        <f>VLOOKUP("Analysis_Indepth_Text",Hidden_Translations!$B$11:$K$1045,Hidden_Translations!$C$8,FALSE)</f>
        <v>For your identified and classified NEBs: Please try to assess the parameters in the table below.</v>
      </c>
      <c r="C21" s="170"/>
      <c r="D21" s="170"/>
      <c r="E21" s="170"/>
      <c r="F21" s="170"/>
      <c r="G21" s="170"/>
      <c r="H21" s="45"/>
      <c r="I21" s="15"/>
      <c r="J21" s="12"/>
    </row>
    <row r="22" spans="1:10" ht="30" customHeight="1">
      <c r="A22" s="21"/>
      <c r="B22" s="171" t="str">
        <f>VLOOKUP("Analysis_Indepth_Key",Hidden_Translations!$B$11:$K$1045,Hidden_Translations!$C$8,FALSE)</f>
        <v xml:space="preserve">Key performance indicator (KPI): </v>
      </c>
      <c r="C22" s="171"/>
      <c r="D22" s="155" t="str">
        <f>VLOOKUP("Analysis_Indepth_Key_Text",Hidden_Translations!$B$11:$K$1045,Hidden_Translations!$C$8,FALSE)</f>
        <v xml:space="preserve">KPIs are automatically pasted. Adapt to your own indicators to asses the NEB if necessary (column D).
</v>
      </c>
      <c r="E22" s="155"/>
      <c r="F22" s="155"/>
      <c r="G22" s="155"/>
      <c r="H22" s="54"/>
      <c r="I22" s="54"/>
      <c r="J22" s="55"/>
    </row>
    <row r="23" spans="1:10" ht="15" customHeight="1">
      <c r="A23" s="2"/>
      <c r="B23" s="2"/>
      <c r="C23" s="2"/>
      <c r="D23" s="54"/>
      <c r="E23" s="54"/>
      <c r="F23" s="54"/>
      <c r="G23" s="54"/>
      <c r="H23" s="54"/>
      <c r="I23" s="54"/>
      <c r="J23" s="54"/>
    </row>
    <row r="24" spans="1:10" ht="15" customHeight="1">
      <c r="A24" s="21"/>
      <c r="B24" s="171" t="str">
        <f>VLOOKUP("Analysis_Indepth_Data",Hidden_Translations!$B$11:$K$1045,Hidden_Translations!$C$8,FALSE)</f>
        <v>Data source for indicator:</v>
      </c>
      <c r="C24" s="171"/>
      <c r="D24" s="155" t="str">
        <f>VLOOKUP("Analysis_Indepth_Data_Text",Hidden_Translations!$B$11:$K$1045,Hidden_Translations!$C$8,FALSE)</f>
        <v xml:space="preserve">Indicate the source of the data in the company, e.g. department (column E). </v>
      </c>
      <c r="E24" s="155"/>
      <c r="F24" s="155"/>
      <c r="G24" s="155"/>
      <c r="H24" s="54"/>
      <c r="I24" s="54"/>
      <c r="J24" s="54"/>
    </row>
    <row r="25" spans="1:10" ht="15" customHeight="1">
      <c r="A25" s="2"/>
      <c r="B25" s="2"/>
      <c r="C25" s="2"/>
      <c r="D25" s="30"/>
      <c r="E25" s="12"/>
      <c r="F25" s="12"/>
      <c r="G25" s="12"/>
      <c r="H25" s="12"/>
      <c r="I25" s="12"/>
      <c r="J25" s="12"/>
    </row>
    <row r="26" spans="1:10" ht="15" customHeight="1">
      <c r="A26" s="21"/>
      <c r="B26" s="171" t="str">
        <f>VLOOKUP("Analysis_Indepth_Impacts",Hidden_Translations!$B$11:$K$1045,Hidden_Translations!$C$8,FALSE)</f>
        <v>Expected impacts:</v>
      </c>
      <c r="C26" s="171"/>
      <c r="D26" s="155" t="str">
        <f>VLOOKUP("Analysis_Indepth_Impacts_Text1",Hidden_Translations!$B$11:$K$1045,Hidden_Translations!$C$8,FALSE)</f>
        <v xml:space="preserve">Indicate the impact of the NEB in qualitative or monetary terms if possible (column F).
</v>
      </c>
      <c r="E26" s="155"/>
      <c r="F26" s="155"/>
      <c r="G26" s="155"/>
      <c r="H26" s="54"/>
      <c r="I26" s="54"/>
      <c r="J26" s="55"/>
    </row>
    <row r="27" spans="1:10" ht="15" customHeight="1">
      <c r="A27" s="19"/>
      <c r="B27" s="57"/>
      <c r="C27" s="57"/>
      <c r="D27" s="170" t="str">
        <f>VLOOKUP("Analysis_Indepth_Impacts_Text2",Hidden_Translations!$B$11:$K$1045,Hidden_Translations!$C$8,FALSE)</f>
        <v>Indicate if and how other stages of the cold supply chain/ other partners do also profit from the NEB (column G).</v>
      </c>
      <c r="E27" s="170"/>
      <c r="F27" s="170"/>
      <c r="G27" s="170"/>
      <c r="H27" s="55"/>
      <c r="I27" s="15"/>
      <c r="J27" s="47"/>
    </row>
    <row r="28" spans="1:10" ht="30" customHeight="1">
      <c r="A28" s="19"/>
      <c r="B28" s="19"/>
      <c r="C28" s="19"/>
      <c r="D28" s="44"/>
      <c r="E28" s="44"/>
      <c r="F28" s="44"/>
      <c r="G28" s="44"/>
      <c r="H28" s="45"/>
      <c r="I28" s="12"/>
      <c r="J28" s="47"/>
    </row>
    <row r="29" spans="1:10" ht="75" customHeight="1">
      <c r="A29" s="47"/>
      <c r="B29" s="173" t="str">
        <f>VLOOKUP("Analysis_Area_Costs",Hidden_Translations!$B$11:$K$1045,Hidden_Translations!$C$8,FALSE)</f>
        <v>Area: COSTS</v>
      </c>
      <c r="C29" s="110" t="str">
        <f>C12</f>
        <v>NEBs for cost decrease</v>
      </c>
      <c r="D29" s="109" t="str">
        <f>VLOOKUP("Analysis_Area_Costs_Key",Hidden_Translations!$B$11:$K$1045,Hidden_Translations!$C$8,FALSE)</f>
        <v>Key performance indicator 
(overwrite if needed)</v>
      </c>
      <c r="E29" s="109" t="str">
        <f>VLOOKUP("Analysis_Area_Costs_Data",Hidden_Translations!$B$11:$K$1045,Hidden_Translations!$C$8,FALSE)</f>
        <v>Data source for indicator
(e.g. company department)</v>
      </c>
      <c r="F29" s="109" t="str">
        <f>VLOOKUP("Analysis_Area_Costs_Impact1",Hidden_Translations!$B$11:$K$1045,Hidden_Translations!$C$8,FALSE)</f>
        <v>Expected impact
 (e.g. in terms of Euro savings)</v>
      </c>
      <c r="G29" s="146" t="str">
        <f>VLOOKUP("Analysis_Area_Costs_Impact2",Hidden_Translations!$B$11:$K$1045,Hidden_Translations!$C$8,FALSE)</f>
        <v>Expected impact on others in the cold supply chain</v>
      </c>
      <c r="H29" s="49"/>
      <c r="I29" s="49"/>
      <c r="J29" s="47"/>
    </row>
    <row r="30" spans="1:10" ht="75" customHeight="1">
      <c r="A30" s="47"/>
      <c r="B30" s="173"/>
      <c r="C30" s="44" t="str">
        <f>C13</f>
        <v/>
      </c>
      <c r="D30" s="76" t="str">
        <f>IF(ISNA(VLOOKUP(1,Identification!$A$36:$F$100,6,FALSE)),"",VLOOKUP(1,Identification!$A$36:$F$100,6,FALSE))</f>
        <v/>
      </c>
      <c r="E30" s="80"/>
      <c r="F30" s="76"/>
      <c r="G30" s="81"/>
      <c r="H30" s="49"/>
      <c r="I30" s="47"/>
      <c r="J30" s="48"/>
    </row>
    <row r="31" spans="1:10" ht="75" customHeight="1">
      <c r="A31" s="47"/>
      <c r="B31" s="173"/>
      <c r="C31" s="44" t="str">
        <f t="shared" ref="C31:C34" si="0">C14</f>
        <v/>
      </c>
      <c r="D31" s="76" t="str">
        <f>IF(ISNA(VLOOKUP(2,Identification!$A$36:$F$100,6,FALSE)),"",VLOOKUP(2,Identification!$A$36:$F$100,6,FALSE))</f>
        <v/>
      </c>
      <c r="E31" s="80"/>
      <c r="F31" s="76"/>
      <c r="G31" s="81"/>
      <c r="H31" s="47"/>
      <c r="I31" s="47"/>
      <c r="J31" s="47"/>
    </row>
    <row r="32" spans="1:10" ht="75" customHeight="1">
      <c r="A32" s="47"/>
      <c r="B32" s="173"/>
      <c r="C32" s="44" t="str">
        <f>C15</f>
        <v/>
      </c>
      <c r="D32" s="76" t="str">
        <f>IF(ISNA(VLOOKUP(4,Identification!$A$36:$F$100,6,FALSE)),"",VLOOKUP(4,Identification!$A$36:$F$100,6,FALSE))</f>
        <v/>
      </c>
      <c r="E32" s="80"/>
      <c r="F32" s="76"/>
      <c r="G32" s="81"/>
      <c r="H32" s="47"/>
      <c r="I32" s="47"/>
      <c r="J32" s="47"/>
    </row>
    <row r="33" spans="1:10" ht="75" customHeight="1">
      <c r="A33" s="47"/>
      <c r="B33" s="173"/>
      <c r="C33" s="44" t="str">
        <f>C16</f>
        <v/>
      </c>
      <c r="D33" s="76" t="str">
        <f>IF(ISNA(VLOOKUP(8,Identification!$A$36:$F$100,6,FALSE)),"",VLOOKUP(8,Identification!$A$36:$F$100,6,FALSE))</f>
        <v/>
      </c>
      <c r="E33" s="80"/>
      <c r="F33" s="76"/>
      <c r="G33" s="81"/>
      <c r="H33" s="47"/>
      <c r="I33" s="47"/>
      <c r="J33" s="47"/>
    </row>
    <row r="34" spans="1:10" ht="75" customHeight="1">
      <c r="A34" s="47"/>
      <c r="B34" s="173"/>
      <c r="C34" s="44" t="str">
        <f t="shared" si="0"/>
        <v/>
      </c>
      <c r="D34" s="76" t="str">
        <f>IF(ISNA(VLOOKUP(16,Identification!$A$36:$F$100,6,FALSE)),"",VLOOKUP(16,Identification!$A$36:$F$100,6,FALSE))</f>
        <v/>
      </c>
      <c r="E34" s="80"/>
      <c r="F34" s="82"/>
      <c r="G34" s="81"/>
      <c r="H34" s="47"/>
      <c r="I34" s="47"/>
      <c r="J34" s="47"/>
    </row>
    <row r="35" spans="1:10" ht="45" customHeight="1">
      <c r="A35" s="48"/>
      <c r="B35" s="42"/>
      <c r="C35" s="43"/>
      <c r="D35" s="43"/>
      <c r="E35" s="50"/>
      <c r="F35" s="50"/>
      <c r="G35" s="51"/>
      <c r="H35" s="48"/>
      <c r="I35" s="48"/>
      <c r="J35" s="47"/>
    </row>
    <row r="36" spans="1:10" ht="75" customHeight="1">
      <c r="A36" s="47"/>
      <c r="B36" s="173" t="str">
        <f>VLOOKUP("Analysis_Area_Value",Hidden_Translations!$B$11:$K$1045,Hidden_Translations!$C$8,FALSE)</f>
        <v>Area: VALUE PROPOSITION</v>
      </c>
      <c r="C36" s="109" t="str">
        <f>E12</f>
        <v>NEBs for value proposition increase</v>
      </c>
      <c r="D36" s="109" t="str">
        <f>D29</f>
        <v>Key performance indicator 
(overwrite if needed)</v>
      </c>
      <c r="E36" s="109" t="str">
        <f>E29</f>
        <v>Data source for indicator
(e.g. company department)</v>
      </c>
      <c r="F36" s="109" t="str">
        <f>F29</f>
        <v>Expected impact
 (e.g. in terms of Euro savings)</v>
      </c>
      <c r="G36" s="146" t="str">
        <f>G29</f>
        <v>Expected impact on others in the cold supply chain</v>
      </c>
      <c r="H36" s="47"/>
      <c r="I36" s="47"/>
      <c r="J36" s="47"/>
    </row>
    <row r="37" spans="1:10" ht="75" customHeight="1">
      <c r="A37" s="47"/>
      <c r="B37" s="173"/>
      <c r="C37" s="44" t="str">
        <f>E13</f>
        <v/>
      </c>
      <c r="D37" s="76" t="str">
        <f>IF(ISNA(VLOOKUP(1,Identification!$B$36:$F$100,5,FALSE)),"",VLOOKUP(1,Identification!$B$36:$F$100,5,FALSE))</f>
        <v/>
      </c>
      <c r="E37" s="80"/>
      <c r="F37" s="80"/>
      <c r="G37" s="81"/>
      <c r="H37" s="47"/>
      <c r="I37" s="47"/>
      <c r="J37" s="48"/>
    </row>
    <row r="38" spans="1:10" ht="75" customHeight="1">
      <c r="A38" s="47"/>
      <c r="B38" s="173"/>
      <c r="C38" s="44" t="str">
        <f t="shared" ref="C38:C41" si="1">E14</f>
        <v/>
      </c>
      <c r="D38" s="76" t="str">
        <f>IF(ISNA(VLOOKUP(2,Identification!$B$36:$F$100,5,FALSE)),"",VLOOKUP(2,Identification!$B$36:$F$100,5,FALSE))</f>
        <v/>
      </c>
      <c r="E38" s="80"/>
      <c r="F38" s="80"/>
      <c r="G38" s="81"/>
      <c r="H38" s="47"/>
      <c r="I38" s="47"/>
      <c r="J38" s="47"/>
    </row>
    <row r="39" spans="1:10" ht="75" customHeight="1">
      <c r="A39" s="47"/>
      <c r="B39" s="173"/>
      <c r="C39" s="44" t="str">
        <f t="shared" si="1"/>
        <v/>
      </c>
      <c r="D39" s="76" t="str">
        <f>IF(ISNA(VLOOKUP(4,Identification!$B$36:$F$100,5,FALSE)),"",VLOOKUP(4,Identification!$B$36:$F$100,5,FALSE))</f>
        <v/>
      </c>
      <c r="E39" s="80"/>
      <c r="F39" s="80"/>
      <c r="G39" s="81"/>
      <c r="H39" s="47"/>
      <c r="I39" s="47"/>
      <c r="J39" s="47"/>
    </row>
    <row r="40" spans="1:10" ht="75" customHeight="1">
      <c r="A40" s="47"/>
      <c r="B40" s="173"/>
      <c r="C40" s="44" t="str">
        <f t="shared" si="1"/>
        <v/>
      </c>
      <c r="D40" s="76" t="str">
        <f>IF(ISNA(VLOOKUP(8,Identification!$B$36:$F$100,5,FALSE)),"",VLOOKUP(8,Identification!$B$36:$F$100,5,FALSE))</f>
        <v/>
      </c>
      <c r="E40" s="80"/>
      <c r="F40" s="80"/>
      <c r="G40" s="81"/>
      <c r="H40" s="47"/>
      <c r="I40" s="47"/>
      <c r="J40" s="47"/>
    </row>
    <row r="41" spans="1:10" ht="75" customHeight="1">
      <c r="A41" s="47"/>
      <c r="B41" s="173"/>
      <c r="C41" s="44" t="str">
        <f t="shared" si="1"/>
        <v/>
      </c>
      <c r="D41" s="76" t="str">
        <f>IF(ISNA(VLOOKUP(16,Identification!$B$36:$F$100,5,FALSE)),"",VLOOKUP(16,Identification!$B$36:$F$100,5,FALSE))</f>
        <v/>
      </c>
      <c r="E41" s="80"/>
      <c r="F41" s="80"/>
      <c r="G41" s="81"/>
      <c r="H41" s="47"/>
      <c r="I41" s="47"/>
      <c r="J41" s="47"/>
    </row>
    <row r="42" spans="1:10" ht="45" customHeight="1">
      <c r="A42" s="48"/>
      <c r="B42" s="42"/>
      <c r="C42" s="53"/>
      <c r="D42" s="53"/>
      <c r="E42" s="52"/>
      <c r="F42" s="52"/>
      <c r="G42" s="51"/>
      <c r="H42" s="48"/>
      <c r="I42" s="48"/>
      <c r="J42" s="47"/>
    </row>
    <row r="43" spans="1:10" ht="75" customHeight="1">
      <c r="A43" s="47"/>
      <c r="B43" s="173" t="str">
        <f>VLOOKUP("Analysis_Area_Risks",Hidden_Translations!$B$11:$K$1045,Hidden_Translations!$C$8,FALSE)</f>
        <v>Area: RISKS</v>
      </c>
      <c r="C43" s="110" t="str">
        <f>G12</f>
        <v>NEBs for risk reduction</v>
      </c>
      <c r="D43" s="109" t="str">
        <f>D29</f>
        <v>Key performance indicator 
(overwrite if needed)</v>
      </c>
      <c r="E43" s="109" t="str">
        <f>E29</f>
        <v>Data source for indicator
(e.g. company department)</v>
      </c>
      <c r="F43" s="109" t="str">
        <f>F29</f>
        <v>Expected impact
 (e.g. in terms of Euro savings)</v>
      </c>
      <c r="G43" s="146" t="str">
        <f>G29</f>
        <v>Expected impact on others in the cold supply chain</v>
      </c>
      <c r="H43" s="47"/>
      <c r="I43" s="47"/>
      <c r="J43" s="47"/>
    </row>
    <row r="44" spans="1:10" ht="75" customHeight="1">
      <c r="A44" s="47"/>
      <c r="B44" s="173"/>
      <c r="C44" s="44" t="str">
        <f>G13</f>
        <v/>
      </c>
      <c r="D44" s="76" t="str">
        <f>IF(ISNA(VLOOKUP(1,Identification!$C$36:$F$100,4,FALSE)),"",VLOOKUP(1,Identification!$C$36:$F$100,4,FALSE))</f>
        <v/>
      </c>
      <c r="E44" s="80"/>
      <c r="F44" s="80"/>
      <c r="G44" s="81"/>
      <c r="H44" s="47"/>
      <c r="I44" s="47"/>
      <c r="J44" s="47"/>
    </row>
    <row r="45" spans="1:10" ht="75" customHeight="1">
      <c r="A45" s="47"/>
      <c r="B45" s="173"/>
      <c r="C45" s="44" t="str">
        <f t="shared" ref="C45:C48" si="2">G14</f>
        <v/>
      </c>
      <c r="D45" s="76" t="str">
        <f>IF(ISNA(VLOOKUP(2,Identification!$C$36:$F$100,4,FALSE)),"",VLOOKUP(2,Identification!$C$36:$F$100,4,FALSE))</f>
        <v/>
      </c>
      <c r="E45" s="80"/>
      <c r="F45" s="80"/>
      <c r="G45" s="81"/>
      <c r="H45" s="47"/>
      <c r="I45" s="47"/>
      <c r="J45" s="47"/>
    </row>
    <row r="46" spans="1:10" ht="75" customHeight="1">
      <c r="A46" s="47"/>
      <c r="B46" s="173"/>
      <c r="C46" s="44" t="str">
        <f t="shared" si="2"/>
        <v/>
      </c>
      <c r="D46" s="76" t="str">
        <f>IF(ISNA(VLOOKUP(4,Identification!$C$36:$F$100,4,FALSE)),"",VLOOKUP(4,Identification!$C$36:$F$100,4,FALSE))</f>
        <v/>
      </c>
      <c r="E46" s="80"/>
      <c r="F46" s="80"/>
      <c r="G46" s="81"/>
      <c r="H46" s="47"/>
      <c r="I46" s="47"/>
    </row>
    <row r="47" spans="1:10" ht="75" customHeight="1">
      <c r="A47" s="47"/>
      <c r="B47" s="173"/>
      <c r="C47" s="44" t="str">
        <f t="shared" si="2"/>
        <v/>
      </c>
      <c r="D47" s="76" t="str">
        <f>IF(ISNA(VLOOKUP(8,Identification!$C$36:$F$100,4,FALSE)),"",VLOOKUP(8,Identification!$C$36:$F$100,4,FALSE))</f>
        <v/>
      </c>
      <c r="E47" s="80"/>
      <c r="F47" s="80"/>
      <c r="G47" s="81"/>
      <c r="H47" s="47"/>
      <c r="I47" s="47"/>
    </row>
    <row r="48" spans="1:10" ht="75" customHeight="1">
      <c r="A48" s="47"/>
      <c r="B48" s="173"/>
      <c r="C48" s="44" t="str">
        <f t="shared" si="2"/>
        <v/>
      </c>
      <c r="D48" s="76" t="str">
        <f>IF(ISNA(VLOOKUP(16,Identification!$C$36:$F$100,4,FALSE)),"",VLOOKUP(16,Identification!$C$36:$F$100,4,FALSE))</f>
        <v/>
      </c>
      <c r="E48" s="80"/>
      <c r="F48" s="80"/>
      <c r="G48" s="81"/>
      <c r="H48" s="47"/>
      <c r="I48" s="47"/>
    </row>
    <row r="49" spans="1:9">
      <c r="A49" s="47"/>
      <c r="B49" s="47"/>
      <c r="C49" s="47"/>
      <c r="D49" s="47"/>
      <c r="E49" s="47"/>
      <c r="F49" s="47"/>
      <c r="G49" s="47"/>
      <c r="H49" s="47"/>
      <c r="I49" s="47"/>
    </row>
    <row r="50" spans="1:9">
      <c r="A50" s="47"/>
      <c r="B50" s="47"/>
      <c r="C50" s="47"/>
      <c r="D50" s="47"/>
      <c r="E50" s="47"/>
      <c r="F50" s="47"/>
      <c r="G50" s="47"/>
      <c r="H50" s="47"/>
      <c r="I50" s="47"/>
    </row>
  </sheetData>
  <sheetProtection sheet="1" selectLockedCells="1"/>
  <mergeCells count="26">
    <mergeCell ref="D20:G20"/>
    <mergeCell ref="B29:B34"/>
    <mergeCell ref="B36:B41"/>
    <mergeCell ref="B43:B48"/>
    <mergeCell ref="B10:G10"/>
    <mergeCell ref="B21:G21"/>
    <mergeCell ref="C15:D15"/>
    <mergeCell ref="E15:F15"/>
    <mergeCell ref="C16:D16"/>
    <mergeCell ref="E16:F16"/>
    <mergeCell ref="C17:D17"/>
    <mergeCell ref="E17:F17"/>
    <mergeCell ref="C14:D14"/>
    <mergeCell ref="E14:F14"/>
    <mergeCell ref="D22:G22"/>
    <mergeCell ref="D24:G24"/>
    <mergeCell ref="B6:G6"/>
    <mergeCell ref="C12:D12"/>
    <mergeCell ref="E12:F12"/>
    <mergeCell ref="C13:D13"/>
    <mergeCell ref="E13:F13"/>
    <mergeCell ref="D26:G26"/>
    <mergeCell ref="D27:G27"/>
    <mergeCell ref="B22:C22"/>
    <mergeCell ref="B24:C24"/>
    <mergeCell ref="B26:C26"/>
  </mergeCells>
  <conditionalFormatting sqref="E13:E17">
    <cfRule type="expression" dxfId="31" priority="43">
      <formula>MOD(ROW(),2)=0</formula>
    </cfRule>
  </conditionalFormatting>
  <conditionalFormatting sqref="C13:C17">
    <cfRule type="expression" dxfId="30" priority="42">
      <formula>MOD(ROW(),2)=0</formula>
    </cfRule>
  </conditionalFormatting>
  <conditionalFormatting sqref="G13:G17">
    <cfRule type="expression" dxfId="29" priority="41">
      <formula>MOD(ROW(),2)=0</formula>
    </cfRule>
  </conditionalFormatting>
  <conditionalFormatting sqref="B13:B17">
    <cfRule type="expression" dxfId="28" priority="40">
      <formula>MOD(ROW(),2)=0</formula>
    </cfRule>
  </conditionalFormatting>
  <conditionalFormatting sqref="C30:C34">
    <cfRule type="expression" dxfId="27" priority="39">
      <formula>MOD(ROW(),2)=0</formula>
    </cfRule>
  </conditionalFormatting>
  <conditionalFormatting sqref="C37:C41">
    <cfRule type="expression" dxfId="26" priority="23">
      <formula>MOD(ROW(),2)=0</formula>
    </cfRule>
  </conditionalFormatting>
  <conditionalFormatting sqref="C44:C48">
    <cfRule type="expression" dxfId="25" priority="7">
      <formula>MOD(ROW(),2)=0</formula>
    </cfRule>
  </conditionalFormatting>
  <dataValidations count="1">
    <dataValidation type="list" allowBlank="1" showInputMessage="1" showErrorMessage="1" sqref="G42">
      <formula1>$C$42:$C$46</formula1>
    </dataValidation>
  </dataValidations>
  <pageMargins left="0.7" right="0.7" top="0.78740157499999996" bottom="0.78740157499999996" header="0.3" footer="0.3"/>
  <pageSetup paperSize="9" scale="45" orientation="portrait" r:id="rId1"/>
  <rowBreaks count="1" manualBreakCount="1">
    <brk id="35"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59" operator="containsText" id="{9FF5A2D9-6AE4-4FFD-896E-27CB1D4DC2C5}">
            <xm:f>NOT(ISERROR(SEARCH("rarely",G30)))</xm:f>
            <xm:f>"rarely"</xm:f>
            <x14:dxf>
              <fill>
                <patternFill>
                  <bgColor theme="7" tint="0.59996337778862885"/>
                </patternFill>
              </fill>
            </x14:dxf>
          </x14:cfRule>
          <xm:sqref>G30</xm:sqref>
        </x14:conditionalFormatting>
        <x14:conditionalFormatting xmlns:xm="http://schemas.microsoft.com/office/excel/2006/main">
          <x14:cfRule type="containsText" priority="60" operator="containsText" id="{4086716E-DFD9-461A-92AF-93DAB5F37D28}">
            <xm:f>NOT(ISERROR(SEARCH("not at all",G30)))</xm:f>
            <xm:f>"not at all"</xm:f>
            <x14:dxf>
              <fill>
                <patternFill>
                  <bgColor rgb="FFFF7D7D"/>
                </patternFill>
              </fill>
            </x14:dxf>
          </x14:cfRule>
          <x14:cfRule type="containsText" priority="61" operator="containsText" id="{A49CF23F-2759-472E-9D73-6D8E70C3AE25}">
            <xm:f>NOT(ISERROR(SEARCH("strongly",G30)))</xm:f>
            <xm:f>"strongly"</xm:f>
            <x14:dxf>
              <font>
                <color auto="1"/>
              </font>
              <fill>
                <patternFill>
                  <bgColor theme="9"/>
                </patternFill>
              </fill>
            </x14:dxf>
          </x14:cfRule>
          <xm:sqref>G30</xm:sqref>
        </x14:conditionalFormatting>
        <x14:conditionalFormatting xmlns:xm="http://schemas.microsoft.com/office/excel/2006/main">
          <x14:cfRule type="containsText" priority="56" operator="containsText" id="{451B5627-E9E7-4219-9C9F-EA5E19335ACD}">
            <xm:f>NOT(ISERROR(SEARCH("rarely",G31)))</xm:f>
            <xm:f>"rarely"</xm:f>
            <x14:dxf>
              <fill>
                <patternFill>
                  <bgColor theme="7" tint="0.59996337778862885"/>
                </patternFill>
              </fill>
            </x14:dxf>
          </x14:cfRule>
          <xm:sqref>G31</xm:sqref>
        </x14:conditionalFormatting>
        <x14:conditionalFormatting xmlns:xm="http://schemas.microsoft.com/office/excel/2006/main">
          <x14:cfRule type="containsText" priority="53" operator="containsText" id="{C9272F2A-D9C9-4D5B-A058-4E88707B3714}">
            <xm:f>NOT(ISERROR(SEARCH("rarely",G32)))</xm:f>
            <xm:f>"rarely"</xm:f>
            <x14:dxf>
              <fill>
                <patternFill>
                  <bgColor theme="7" tint="0.59996337778862885"/>
                </patternFill>
              </fill>
            </x14:dxf>
          </x14:cfRule>
          <xm:sqref>G32</xm:sqref>
        </x14:conditionalFormatting>
        <x14:conditionalFormatting xmlns:xm="http://schemas.microsoft.com/office/excel/2006/main">
          <x14:cfRule type="containsText" priority="50" operator="containsText" id="{745BE7C8-1211-4F10-A445-8EC512308B2A}">
            <xm:f>NOT(ISERROR(SEARCH("rarely",G33)))</xm:f>
            <xm:f>"rarely"</xm:f>
            <x14:dxf>
              <fill>
                <patternFill>
                  <bgColor theme="7" tint="0.59996337778862885"/>
                </patternFill>
              </fill>
            </x14:dxf>
          </x14:cfRule>
          <xm:sqref>G33</xm:sqref>
        </x14:conditionalFormatting>
        <x14:conditionalFormatting xmlns:xm="http://schemas.microsoft.com/office/excel/2006/main">
          <x14:cfRule type="containsText" priority="47" operator="containsText" id="{6328D722-0AC8-4C10-A2A6-A9E8C0E1EC90}">
            <xm:f>NOT(ISERROR(SEARCH("rarely",G34)))</xm:f>
            <xm:f>"rarely"</xm:f>
            <x14:dxf>
              <fill>
                <patternFill>
                  <bgColor theme="7" tint="0.59996337778862885"/>
                </patternFill>
              </fill>
            </x14:dxf>
          </x14:cfRule>
          <xm:sqref>G34:G35</xm:sqref>
        </x14:conditionalFormatting>
        <x14:conditionalFormatting xmlns:xm="http://schemas.microsoft.com/office/excel/2006/main">
          <x14:cfRule type="containsText" priority="57" operator="containsText" id="{392F9285-1A25-4A6B-A9EB-B48FA6F97ACC}">
            <xm:f>NOT(ISERROR(SEARCH("not at all",G31)))</xm:f>
            <xm:f>"not at all"</xm:f>
            <x14:dxf>
              <fill>
                <patternFill>
                  <bgColor rgb="FFFF7D7D"/>
                </patternFill>
              </fill>
            </x14:dxf>
          </x14:cfRule>
          <x14:cfRule type="containsText" priority="58" operator="containsText" id="{C8818CC3-65A5-4C86-A966-A1AA24C60D94}">
            <xm:f>NOT(ISERROR(SEARCH("strongly",G31)))</xm:f>
            <xm:f>"strongly"</xm:f>
            <x14:dxf>
              <font>
                <color auto="1"/>
              </font>
              <fill>
                <patternFill>
                  <bgColor theme="9"/>
                </patternFill>
              </fill>
            </x14:dxf>
          </x14:cfRule>
          <xm:sqref>G31</xm:sqref>
        </x14:conditionalFormatting>
        <x14:conditionalFormatting xmlns:xm="http://schemas.microsoft.com/office/excel/2006/main">
          <x14:cfRule type="containsText" priority="54" operator="containsText" id="{DB515C6E-B575-41D3-9082-61201BC680CF}">
            <xm:f>NOT(ISERROR(SEARCH("not at all",G32)))</xm:f>
            <xm:f>"not at all"</xm:f>
            <x14:dxf>
              <fill>
                <patternFill>
                  <bgColor rgb="FFFF7D7D"/>
                </patternFill>
              </fill>
            </x14:dxf>
          </x14:cfRule>
          <x14:cfRule type="containsText" priority="55" operator="containsText" id="{11AF24B7-3524-49F5-8B25-2236DB143F7B}">
            <xm:f>NOT(ISERROR(SEARCH("strongly",G32)))</xm:f>
            <xm:f>"strongly"</xm:f>
            <x14:dxf>
              <font>
                <color auto="1"/>
              </font>
              <fill>
                <patternFill>
                  <bgColor theme="9"/>
                </patternFill>
              </fill>
            </x14:dxf>
          </x14:cfRule>
          <xm:sqref>G32</xm:sqref>
        </x14:conditionalFormatting>
        <x14:conditionalFormatting xmlns:xm="http://schemas.microsoft.com/office/excel/2006/main">
          <x14:cfRule type="containsText" priority="51" operator="containsText" id="{6C2B313E-2A25-45AB-AA61-EDD182C313BE}">
            <xm:f>NOT(ISERROR(SEARCH("not at all",G33)))</xm:f>
            <xm:f>"not at all"</xm:f>
            <x14:dxf>
              <fill>
                <patternFill>
                  <bgColor rgb="FFFF7D7D"/>
                </patternFill>
              </fill>
            </x14:dxf>
          </x14:cfRule>
          <x14:cfRule type="containsText" priority="52" operator="containsText" id="{19BF13E9-22D4-40A0-8AC7-E9F71B28C25E}">
            <xm:f>NOT(ISERROR(SEARCH("strongly",G33)))</xm:f>
            <xm:f>"strongly"</xm:f>
            <x14:dxf>
              <font>
                <color auto="1"/>
              </font>
              <fill>
                <patternFill>
                  <bgColor theme="9"/>
                </patternFill>
              </fill>
            </x14:dxf>
          </x14:cfRule>
          <xm:sqref>G33</xm:sqref>
        </x14:conditionalFormatting>
        <x14:conditionalFormatting xmlns:xm="http://schemas.microsoft.com/office/excel/2006/main">
          <x14:cfRule type="containsText" priority="48" operator="containsText" id="{9CBBD5C7-5FAF-4DDA-9521-B448EB18694B}">
            <xm:f>NOT(ISERROR(SEARCH("not at all",G34)))</xm:f>
            <xm:f>"not at all"</xm:f>
            <x14:dxf>
              <fill>
                <patternFill>
                  <bgColor rgb="FFFF7D7D"/>
                </patternFill>
              </fill>
            </x14:dxf>
          </x14:cfRule>
          <x14:cfRule type="containsText" priority="49" operator="containsText" id="{7F0F8041-4CDD-4145-8633-6A11D230B6F7}">
            <xm:f>NOT(ISERROR(SEARCH("strongly",G34)))</xm:f>
            <xm:f>"strongly"</xm:f>
            <x14:dxf>
              <font>
                <color auto="1"/>
              </font>
              <fill>
                <patternFill>
                  <bgColor theme="9"/>
                </patternFill>
              </fill>
            </x14:dxf>
          </x14:cfRule>
          <xm:sqref>G34:G35</xm:sqref>
        </x14:conditionalFormatting>
        <x14:conditionalFormatting xmlns:xm="http://schemas.microsoft.com/office/excel/2006/main">
          <x14:cfRule type="containsText" priority="44" operator="containsText" id="{9FBB2759-3039-4106-80BF-B54C278DDBA7}">
            <xm:f>NOT(ISERROR(SEARCH("rarely",G42)))</xm:f>
            <xm:f>"rarely"</xm:f>
            <x14:dxf>
              <fill>
                <patternFill>
                  <bgColor theme="7" tint="0.59996337778862885"/>
                </patternFill>
              </fill>
            </x14:dxf>
          </x14:cfRule>
          <xm:sqref>G42</xm:sqref>
        </x14:conditionalFormatting>
        <x14:conditionalFormatting xmlns:xm="http://schemas.microsoft.com/office/excel/2006/main">
          <x14:cfRule type="containsText" priority="45" operator="containsText" id="{FDCF3CCD-CFDD-48A1-89CB-FB6833DE5964}">
            <xm:f>NOT(ISERROR(SEARCH("not at all",G42)))</xm:f>
            <xm:f>"not at all"</xm:f>
            <x14:dxf>
              <fill>
                <patternFill>
                  <bgColor rgb="FFFF7D7D"/>
                </patternFill>
              </fill>
            </x14:dxf>
          </x14:cfRule>
          <x14:cfRule type="containsText" priority="46" operator="containsText" id="{4593AC47-FDF9-4984-8DFA-6079B4EA6A43}">
            <xm:f>NOT(ISERROR(SEARCH("strongly",G42)))</xm:f>
            <xm:f>"strongly"</xm:f>
            <x14:dxf>
              <font>
                <color auto="1"/>
              </font>
              <fill>
                <patternFill>
                  <bgColor theme="9"/>
                </patternFill>
              </fill>
            </x14:dxf>
          </x14:cfRule>
          <xm:sqref>G42</xm:sqref>
        </x14:conditionalFormatting>
        <x14:conditionalFormatting xmlns:xm="http://schemas.microsoft.com/office/excel/2006/main">
          <x14:cfRule type="containsText" priority="4" operator="containsText" id="{94117879-FA00-4DC7-BF36-E7DE45D855D5}">
            <xm:f>NOT(ISERROR(SEARCH("rarely",G37)))</xm:f>
            <xm:f>"rarely"</xm:f>
            <x14:dxf>
              <fill>
                <patternFill>
                  <bgColor theme="7" tint="0.59996337778862885"/>
                </patternFill>
              </fill>
            </x14:dxf>
          </x14:cfRule>
          <xm:sqref>G37:G41</xm:sqref>
        </x14:conditionalFormatting>
        <x14:conditionalFormatting xmlns:xm="http://schemas.microsoft.com/office/excel/2006/main">
          <x14:cfRule type="containsText" priority="5" operator="containsText" id="{591F9540-4A7B-4B8E-A6AE-7FC323E3E191}">
            <xm:f>NOT(ISERROR(SEARCH("not at all",G37)))</xm:f>
            <xm:f>"not at all"</xm:f>
            <x14:dxf>
              <fill>
                <patternFill>
                  <bgColor rgb="FFFF7D7D"/>
                </patternFill>
              </fill>
            </x14:dxf>
          </x14:cfRule>
          <x14:cfRule type="containsText" priority="6" operator="containsText" id="{ED6E9A31-218B-4F74-997B-0E2369A7A387}">
            <xm:f>NOT(ISERROR(SEARCH("strongly",G37)))</xm:f>
            <xm:f>"strongly"</xm:f>
            <x14:dxf>
              <font>
                <color auto="1"/>
              </font>
              <fill>
                <patternFill>
                  <bgColor theme="9"/>
                </patternFill>
              </fill>
            </x14:dxf>
          </x14:cfRule>
          <xm:sqref>G37:G41</xm:sqref>
        </x14:conditionalFormatting>
        <x14:conditionalFormatting xmlns:xm="http://schemas.microsoft.com/office/excel/2006/main">
          <x14:cfRule type="containsText" priority="1" operator="containsText" id="{E8D23F30-A9AC-4B72-A4A6-C8A51B218322}">
            <xm:f>NOT(ISERROR(SEARCH("rarely",G44)))</xm:f>
            <xm:f>"rarely"</xm:f>
            <x14:dxf>
              <fill>
                <patternFill>
                  <bgColor theme="7" tint="0.59996337778862885"/>
                </patternFill>
              </fill>
            </x14:dxf>
          </x14:cfRule>
          <xm:sqref>G44:G48</xm:sqref>
        </x14:conditionalFormatting>
        <x14:conditionalFormatting xmlns:xm="http://schemas.microsoft.com/office/excel/2006/main">
          <x14:cfRule type="containsText" priority="2" operator="containsText" id="{37DA696F-ED8F-4A95-A301-B43B8DE1B6ED}">
            <xm:f>NOT(ISERROR(SEARCH("not at all",G44)))</xm:f>
            <xm:f>"not at all"</xm:f>
            <x14:dxf>
              <fill>
                <patternFill>
                  <bgColor rgb="FFFF7D7D"/>
                </patternFill>
              </fill>
            </x14:dxf>
          </x14:cfRule>
          <x14:cfRule type="containsText" priority="3" operator="containsText" id="{68C637E1-0181-4AAB-A547-F37EE3F4172A}">
            <xm:f>NOT(ISERROR(SEARCH("strongly",G44)))</xm:f>
            <xm:f>"strongly"</xm:f>
            <x14:dxf>
              <font>
                <color auto="1"/>
              </font>
              <fill>
                <patternFill>
                  <bgColor theme="9"/>
                </patternFill>
              </fill>
            </x14:dxf>
          </x14:cfRule>
          <xm:sqref>G44:G48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Hidden_Lists!$C$35:$C$38</xm:f>
          </x14:formula1>
          <xm:sqref>G30:G35 G37:G41 G44:G48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J38"/>
  <sheetViews>
    <sheetView workbookViewId="0"/>
  </sheetViews>
  <sheetFormatPr baseColWidth="10" defaultColWidth="11" defaultRowHeight="15"/>
  <cols>
    <col min="1" max="1" width="3.625" style="2" customWidth="1"/>
    <col min="2" max="2" width="15.625" style="2" customWidth="1"/>
    <col min="3" max="10" width="10.625" style="2" customWidth="1"/>
    <col min="11" max="16384" width="11" style="2"/>
  </cols>
  <sheetData>
    <row r="2" spans="2:10" ht="18.75">
      <c r="B2" s="66" t="str">
        <f>VLOOKUP("General_Header",Hidden_Translations!$B$11:$J$129,Hidden_Translations!$C$8,FALSE)</f>
        <v>Improving Cold Chain Energy Efficiency (ICCEE project)</v>
      </c>
      <c r="C2" s="28"/>
      <c r="D2" s="28"/>
      <c r="E2" s="28"/>
      <c r="F2" s="28"/>
      <c r="G2" s="28"/>
      <c r="H2" s="28"/>
      <c r="I2" s="28"/>
      <c r="J2" s="28"/>
    </row>
    <row r="4" spans="2:10" ht="18.75">
      <c r="B4" s="35" t="s">
        <v>555</v>
      </c>
      <c r="C4" s="35"/>
      <c r="D4" s="35"/>
      <c r="E4" s="35"/>
      <c r="F4" s="35"/>
      <c r="G4" s="35"/>
      <c r="H4" s="35"/>
      <c r="I4" s="35"/>
      <c r="J4" s="35"/>
    </row>
    <row r="6" spans="2:10" ht="15.75" customHeight="1">
      <c r="B6" s="176" t="s">
        <v>542</v>
      </c>
      <c r="C6" s="176"/>
      <c r="D6" s="176"/>
      <c r="E6" s="176"/>
      <c r="F6" s="176"/>
      <c r="G6" s="176"/>
      <c r="H6" s="176"/>
      <c r="I6" s="176"/>
      <c r="J6" s="176"/>
    </row>
    <row r="8" spans="2:10">
      <c r="B8" s="7"/>
    </row>
    <row r="10" spans="2:10">
      <c r="B10" s="67" t="s">
        <v>120</v>
      </c>
      <c r="C10" s="67" t="s">
        <v>121</v>
      </c>
      <c r="D10" s="67"/>
      <c r="E10" s="67"/>
      <c r="F10" s="67"/>
      <c r="G10" s="67"/>
      <c r="H10" s="67"/>
      <c r="I10" s="67"/>
      <c r="J10" s="67"/>
    </row>
    <row r="12" spans="2:10" ht="15.75" customHeight="1">
      <c r="B12" s="8" t="s">
        <v>122</v>
      </c>
      <c r="C12" s="2" t="s">
        <v>80</v>
      </c>
      <c r="D12" s="9">
        <v>1</v>
      </c>
      <c r="F12" s="9"/>
      <c r="G12" s="9"/>
      <c r="H12" s="9"/>
      <c r="I12" s="9"/>
      <c r="J12" s="10"/>
    </row>
    <row r="13" spans="2:10">
      <c r="C13" s="2" t="s">
        <v>93</v>
      </c>
      <c r="D13" s="2">
        <v>2</v>
      </c>
    </row>
    <row r="14" spans="2:10">
      <c r="C14" s="2" t="s">
        <v>94</v>
      </c>
      <c r="D14" s="2">
        <v>3</v>
      </c>
    </row>
    <row r="15" spans="2:10">
      <c r="C15" s="2" t="s">
        <v>95</v>
      </c>
      <c r="D15" s="2">
        <v>4</v>
      </c>
    </row>
    <row r="16" spans="2:10">
      <c r="C16" s="99" t="s">
        <v>551</v>
      </c>
      <c r="D16" s="2">
        <v>5</v>
      </c>
    </row>
    <row r="17" spans="2:7">
      <c r="C17" s="2" t="s">
        <v>96</v>
      </c>
      <c r="D17" s="2">
        <v>6</v>
      </c>
    </row>
    <row r="18" spans="2:7">
      <c r="C18" s="2" t="s">
        <v>97</v>
      </c>
      <c r="D18" s="2">
        <v>7</v>
      </c>
    </row>
    <row r="19" spans="2:7">
      <c r="C19" s="2" t="s">
        <v>98</v>
      </c>
      <c r="D19" s="2">
        <v>8</v>
      </c>
    </row>
    <row r="22" spans="2:7" ht="15.75">
      <c r="B22" s="62" t="s">
        <v>0</v>
      </c>
      <c r="C22" s="62"/>
      <c r="D22" s="20"/>
      <c r="E22" s="56"/>
    </row>
    <row r="23" spans="2:7" ht="15.75">
      <c r="B23" s="20"/>
      <c r="C23" s="62" t="s">
        <v>77</v>
      </c>
      <c r="D23" s="20"/>
    </row>
    <row r="24" spans="2:7" ht="15.75">
      <c r="B24" s="20"/>
      <c r="C24" s="62"/>
      <c r="D24" s="20"/>
    </row>
    <row r="25" spans="2:7" ht="15.75">
      <c r="B25" s="62" t="str">
        <f>VLOOKUP("Hidden_Lists_Strategic",Hidden_Translations!$B$11:$K$1045,Hidden_Translations!$C$8,FALSE)</f>
        <v>Strategic Importance</v>
      </c>
      <c r="C25" s="20"/>
      <c r="D25" s="20"/>
      <c r="F25" s="2" t="s">
        <v>545</v>
      </c>
    </row>
    <row r="26" spans="2:7" ht="15.75">
      <c r="B26" s="20"/>
      <c r="C26" s="62" t="str">
        <f>VLOOKUP("Hidden_Lists_Strategic_none",Hidden_Translations!$B$11:$K$1045,Hidden_Translations!$C$8,FALSE)</f>
        <v>none</v>
      </c>
      <c r="D26" s="20"/>
    </row>
    <row r="27" spans="2:7" ht="15.75">
      <c r="B27" s="20"/>
      <c r="C27" s="62" t="str">
        <f>VLOOKUP("Hidden_Lists_Strategic_low",Hidden_Translations!$B$11:$K$1045,Hidden_Translations!$C$8,FALSE)</f>
        <v>low</v>
      </c>
      <c r="D27" s="20"/>
    </row>
    <row r="28" spans="2:7" ht="15.75">
      <c r="B28" s="20"/>
      <c r="C28" s="62" t="str">
        <f>VLOOKUP("Hidden_Lists_Strategic_medium",Hidden_Translations!$B$11:$K$1045,Hidden_Translations!$C$8,FALSE)</f>
        <v>medium</v>
      </c>
      <c r="D28" s="20"/>
    </row>
    <row r="29" spans="2:7" ht="15.75">
      <c r="B29" s="20"/>
      <c r="C29" s="62" t="str">
        <f>VLOOKUP("Hidden_Lists_Strategic_high",Hidden_Translations!$B$11:$K$1045,Hidden_Translations!$C$8,FALSE)</f>
        <v>high</v>
      </c>
      <c r="D29" s="20"/>
    </row>
    <row r="30" spans="2:7">
      <c r="B30" s="20"/>
      <c r="C30" s="20"/>
      <c r="D30" s="20"/>
    </row>
    <row r="31" spans="2:7">
      <c r="B31" s="20" t="str">
        <f>VLOOKUP("Hidden_Lists_Nature",Hidden_Translations!$B$11:$K$1045,Hidden_Translations!$C$8,FALSE)</f>
        <v>Nature of data</v>
      </c>
      <c r="C31" s="20"/>
      <c r="D31" s="20"/>
      <c r="F31" s="2" t="s">
        <v>545</v>
      </c>
    </row>
    <row r="32" spans="2:7" ht="15.75">
      <c r="B32" s="20"/>
      <c r="C32" s="20" t="str">
        <f>VLOOKUP("Hidden_Lists_Nature_quantitative",Hidden_Translations!$B$11:$K$1045,Hidden_Translations!$C$8,FALSE)</f>
        <v>quantitative</v>
      </c>
      <c r="D32" s="20"/>
      <c r="F32" s="11"/>
      <c r="G32" s="11"/>
    </row>
    <row r="33" spans="2:7" ht="15.75">
      <c r="B33" s="20"/>
      <c r="C33" s="20" t="str">
        <f>VLOOKUP("Hidden_Lists_Nature_qualitative",Hidden_Translations!$B$11:$K$1045,Hidden_Translations!$C$8,FALSE)</f>
        <v>qualitative</v>
      </c>
      <c r="D33" s="20"/>
      <c r="F33" s="11"/>
      <c r="G33" s="11"/>
    </row>
    <row r="34" spans="2:7" ht="15.75">
      <c r="B34" s="20"/>
      <c r="C34" s="20"/>
      <c r="D34" s="20"/>
      <c r="E34" s="20"/>
      <c r="F34" s="11"/>
      <c r="G34" s="11"/>
    </row>
    <row r="35" spans="2:7" ht="15.75">
      <c r="B35" s="20" t="str">
        <f>VLOOKUP("Hidden_Lists_NEB",Hidden_Translations!$B$11:$K$1045,Hidden_Translations!$C$8,FALSE)</f>
        <v>NEB in CSC</v>
      </c>
      <c r="C35" s="1"/>
      <c r="D35" s="20"/>
      <c r="E35" s="20"/>
      <c r="F35" s="2" t="s">
        <v>545</v>
      </c>
      <c r="G35" s="11"/>
    </row>
    <row r="36" spans="2:7" ht="15.75">
      <c r="B36" s="20"/>
      <c r="C36" s="1" t="str">
        <f>VLOOKUP("Hidden_Lists_NEB_none",Hidden_Translations!$B$11:$K$1045,Hidden_Translations!$C$8,FALSE)</f>
        <v>none</v>
      </c>
      <c r="D36" s="20"/>
      <c r="E36" s="20"/>
    </row>
    <row r="37" spans="2:7" ht="15.75">
      <c r="B37" s="20"/>
      <c r="C37" s="1" t="str">
        <f>VLOOKUP("Hidden_Lists_NEB_low",Hidden_Translations!$B$11:$K$1045,Hidden_Translations!$C$8,FALSE)</f>
        <v>low</v>
      </c>
      <c r="D37" s="20"/>
      <c r="E37" s="20"/>
    </row>
    <row r="38" spans="2:7" ht="15.75">
      <c r="B38" s="20"/>
      <c r="C38" s="1" t="str">
        <f>VLOOKUP("Hidden_Lists_NEB_high",Hidden_Translations!$B$11:$K$1045,Hidden_Translations!$C$8,FALSE)</f>
        <v>high</v>
      </c>
      <c r="D38" s="20"/>
      <c r="E38" s="20"/>
    </row>
  </sheetData>
  <mergeCells count="1">
    <mergeCell ref="B6:J6"/>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K262"/>
  <sheetViews>
    <sheetView zoomScaleNormal="100" workbookViewId="0">
      <pane xSplit="3" topLeftCell="D1" activePane="topRight" state="frozen"/>
      <selection pane="topRight"/>
    </sheetView>
  </sheetViews>
  <sheetFormatPr baseColWidth="10" defaultColWidth="11" defaultRowHeight="15"/>
  <cols>
    <col min="1" max="1" width="3.625" style="5" customWidth="1"/>
    <col min="2" max="2" width="25.5" style="2" customWidth="1"/>
    <col min="3" max="3" width="60.625" style="2" customWidth="1"/>
    <col min="4" max="4" width="60.625" style="63" customWidth="1"/>
    <col min="5" max="11" width="60.625" style="5" customWidth="1"/>
    <col min="12" max="16384" width="11" style="5"/>
  </cols>
  <sheetData>
    <row r="2" spans="2:11" ht="18.75">
      <c r="B2" s="66" t="str">
        <f>VLOOKUP("General_Header",Hidden_Translations!$B$11:$J$129,Hidden_Translations!$C$8,FALSE)</f>
        <v>Improving Cold Chain Energy Efficiency (ICCEE project)</v>
      </c>
      <c r="C2" s="28"/>
      <c r="D2" s="68"/>
      <c r="E2" s="69"/>
      <c r="F2" s="69"/>
      <c r="G2" s="69"/>
      <c r="H2" s="69"/>
      <c r="I2" s="69"/>
      <c r="J2" s="69"/>
      <c r="K2" s="107"/>
    </row>
    <row r="4" spans="2:11" ht="18.75">
      <c r="B4" s="35" t="s">
        <v>554</v>
      </c>
      <c r="C4" s="35"/>
      <c r="D4" s="35"/>
      <c r="E4" s="35"/>
      <c r="F4" s="35"/>
      <c r="G4" s="35"/>
      <c r="H4" s="35"/>
      <c r="I4" s="35"/>
      <c r="J4" s="35"/>
      <c r="K4" s="108"/>
    </row>
    <row r="6" spans="2:11">
      <c r="B6" s="177" t="s">
        <v>543</v>
      </c>
      <c r="C6" s="177"/>
      <c r="D6" s="177"/>
      <c r="E6" s="177"/>
      <c r="F6" s="177"/>
      <c r="G6" s="177"/>
      <c r="H6" s="177"/>
      <c r="I6" s="177"/>
      <c r="J6" s="177"/>
      <c r="K6" s="177"/>
    </row>
    <row r="8" spans="2:11">
      <c r="B8" s="74" t="s">
        <v>91</v>
      </c>
      <c r="C8" s="2">
        <f>VLOOKUP(Info!C8,Hidden_Lists!C12:D19,2,FALSE)+1</f>
        <v>2</v>
      </c>
    </row>
    <row r="10" spans="2:11">
      <c r="B10" s="67" t="s">
        <v>92</v>
      </c>
      <c r="C10" s="67" t="s">
        <v>80</v>
      </c>
      <c r="D10" s="70" t="s">
        <v>93</v>
      </c>
      <c r="E10" s="67" t="s">
        <v>94</v>
      </c>
      <c r="F10" s="67" t="s">
        <v>95</v>
      </c>
      <c r="G10" s="100" t="s">
        <v>551</v>
      </c>
      <c r="H10" s="67" t="s">
        <v>96</v>
      </c>
      <c r="I10" s="67" t="s">
        <v>97</v>
      </c>
      <c r="J10" s="71" t="s">
        <v>98</v>
      </c>
      <c r="K10" s="106"/>
    </row>
    <row r="11" spans="2:11">
      <c r="B11" s="6" t="s">
        <v>99</v>
      </c>
      <c r="C11" s="63" t="s">
        <v>81</v>
      </c>
      <c r="D11" s="149" t="s">
        <v>100</v>
      </c>
      <c r="E11" s="150" t="s">
        <v>1508</v>
      </c>
      <c r="F11" s="149" t="s">
        <v>1509</v>
      </c>
      <c r="G11" s="149" t="s">
        <v>948</v>
      </c>
      <c r="H11" s="149" t="s">
        <v>1510</v>
      </c>
      <c r="I11" s="149" t="s">
        <v>1512</v>
      </c>
      <c r="J11" s="149" t="s">
        <v>1511</v>
      </c>
      <c r="K11" s="22"/>
    </row>
    <row r="12" spans="2:11">
      <c r="B12" s="60" t="s">
        <v>101</v>
      </c>
      <c r="C12" s="63" t="s">
        <v>556</v>
      </c>
      <c r="D12" s="64" t="s">
        <v>557</v>
      </c>
      <c r="E12" s="112" t="s">
        <v>580</v>
      </c>
      <c r="F12" s="119" t="s">
        <v>765</v>
      </c>
      <c r="G12" s="128" t="s">
        <v>949</v>
      </c>
      <c r="H12" s="135" t="s">
        <v>1131</v>
      </c>
      <c r="I12" s="148" t="s">
        <v>1513</v>
      </c>
      <c r="J12" s="139" t="s">
        <v>1308</v>
      </c>
      <c r="K12" s="22"/>
    </row>
    <row r="13" spans="2:11" ht="129.75" customHeight="1">
      <c r="B13" s="60" t="s">
        <v>102</v>
      </c>
      <c r="C13" s="63" t="s">
        <v>128</v>
      </c>
      <c r="D13" s="64" t="s">
        <v>524</v>
      </c>
      <c r="E13" s="112" t="s">
        <v>581</v>
      </c>
      <c r="F13" s="125" t="s">
        <v>766</v>
      </c>
      <c r="G13" s="132" t="s">
        <v>950</v>
      </c>
      <c r="H13" s="135" t="s">
        <v>1132</v>
      </c>
      <c r="I13" s="148" t="s">
        <v>1514</v>
      </c>
      <c r="J13" s="139" t="s">
        <v>1309</v>
      </c>
      <c r="K13" s="22"/>
    </row>
    <row r="14" spans="2:11">
      <c r="B14" s="60" t="s">
        <v>103</v>
      </c>
      <c r="C14" s="63" t="s">
        <v>82</v>
      </c>
      <c r="D14" s="64" t="s">
        <v>104</v>
      </c>
      <c r="E14" s="114" t="s">
        <v>582</v>
      </c>
      <c r="F14" s="119" t="s">
        <v>767</v>
      </c>
      <c r="G14" s="128" t="s">
        <v>951</v>
      </c>
      <c r="H14" s="135" t="s">
        <v>1133</v>
      </c>
      <c r="I14" s="150" t="s">
        <v>1515</v>
      </c>
      <c r="J14" s="139" t="s">
        <v>1310</v>
      </c>
      <c r="K14" s="22"/>
    </row>
    <row r="15" spans="2:11" ht="75">
      <c r="B15" s="60" t="s">
        <v>548</v>
      </c>
      <c r="C15" s="97" t="s">
        <v>549</v>
      </c>
      <c r="D15" s="98" t="s">
        <v>550</v>
      </c>
      <c r="E15" s="114" t="s">
        <v>583</v>
      </c>
      <c r="F15" s="126" t="s">
        <v>768</v>
      </c>
      <c r="G15" s="132" t="s">
        <v>952</v>
      </c>
      <c r="H15" s="135" t="s">
        <v>1134</v>
      </c>
      <c r="I15" s="150" t="s">
        <v>1516</v>
      </c>
      <c r="J15" s="143" t="s">
        <v>1311</v>
      </c>
      <c r="K15" s="94"/>
    </row>
    <row r="16" spans="2:11">
      <c r="B16" s="60" t="s">
        <v>105</v>
      </c>
      <c r="C16" s="63" t="s">
        <v>83</v>
      </c>
      <c r="D16" s="64" t="s">
        <v>83</v>
      </c>
      <c r="E16" s="114" t="s">
        <v>584</v>
      </c>
      <c r="F16" s="119" t="s">
        <v>769</v>
      </c>
      <c r="G16" s="128" t="s">
        <v>953</v>
      </c>
      <c r="H16" s="135" t="s">
        <v>1135</v>
      </c>
      <c r="I16" s="150" t="s">
        <v>1517</v>
      </c>
      <c r="J16" s="139" t="s">
        <v>1312</v>
      </c>
      <c r="K16" s="22"/>
    </row>
    <row r="17" spans="2:11">
      <c r="B17" s="60" t="s">
        <v>106</v>
      </c>
      <c r="C17" s="63" t="s">
        <v>84</v>
      </c>
      <c r="D17" s="64" t="s">
        <v>107</v>
      </c>
      <c r="E17" s="114" t="s">
        <v>585</v>
      </c>
      <c r="F17" s="119" t="s">
        <v>770</v>
      </c>
      <c r="G17" s="128" t="s">
        <v>954</v>
      </c>
      <c r="H17" s="135" t="s">
        <v>1136</v>
      </c>
      <c r="I17" s="150" t="s">
        <v>1518</v>
      </c>
      <c r="J17" s="139" t="s">
        <v>1313</v>
      </c>
      <c r="K17" s="22"/>
    </row>
    <row r="18" spans="2:11" ht="90">
      <c r="B18" s="60" t="s">
        <v>108</v>
      </c>
      <c r="C18" s="63" t="s">
        <v>129</v>
      </c>
      <c r="D18" s="64" t="s">
        <v>473</v>
      </c>
      <c r="E18" s="112" t="s">
        <v>586</v>
      </c>
      <c r="F18" s="119" t="s">
        <v>771</v>
      </c>
      <c r="G18" s="132" t="s">
        <v>955</v>
      </c>
      <c r="H18" s="135" t="s">
        <v>1137</v>
      </c>
      <c r="I18" s="148" t="s">
        <v>1519</v>
      </c>
      <c r="J18" s="139" t="s">
        <v>1314</v>
      </c>
      <c r="K18" s="22"/>
    </row>
    <row r="19" spans="2:11" ht="15.75">
      <c r="B19" s="60" t="s">
        <v>109</v>
      </c>
      <c r="C19" s="63" t="s">
        <v>85</v>
      </c>
      <c r="D19" s="64" t="s">
        <v>110</v>
      </c>
      <c r="E19" s="114" t="s">
        <v>587</v>
      </c>
      <c r="F19" s="119" t="s">
        <v>772</v>
      </c>
      <c r="G19" s="128" t="s">
        <v>956</v>
      </c>
      <c r="H19" s="135" t="s">
        <v>1138</v>
      </c>
      <c r="I19" s="150" t="s">
        <v>1520</v>
      </c>
      <c r="J19" s="143" t="s">
        <v>1315</v>
      </c>
      <c r="K19" s="22"/>
    </row>
    <row r="20" spans="2:11" ht="30">
      <c r="B20" s="60" t="s">
        <v>111</v>
      </c>
      <c r="C20" s="63" t="s">
        <v>86</v>
      </c>
      <c r="D20" s="64" t="s">
        <v>472</v>
      </c>
      <c r="E20" s="114" t="s">
        <v>588</v>
      </c>
      <c r="F20" s="119" t="s">
        <v>773</v>
      </c>
      <c r="G20" s="128" t="s">
        <v>957</v>
      </c>
      <c r="H20" s="135" t="s">
        <v>1139</v>
      </c>
      <c r="I20" s="150" t="s">
        <v>1521</v>
      </c>
      <c r="J20" s="143" t="s">
        <v>1316</v>
      </c>
      <c r="K20" s="22"/>
    </row>
    <row r="21" spans="2:11" ht="15.75">
      <c r="B21" s="60" t="s">
        <v>112</v>
      </c>
      <c r="C21" s="63" t="s">
        <v>87</v>
      </c>
      <c r="D21" s="64" t="s">
        <v>113</v>
      </c>
      <c r="E21" s="114" t="s">
        <v>589</v>
      </c>
      <c r="F21" s="119" t="s">
        <v>774</v>
      </c>
      <c r="G21" s="128" t="s">
        <v>958</v>
      </c>
      <c r="H21" s="135" t="s">
        <v>1140</v>
      </c>
      <c r="I21" s="150" t="s">
        <v>1522</v>
      </c>
      <c r="J21" s="143" t="s">
        <v>1317</v>
      </c>
      <c r="K21" s="22"/>
    </row>
    <row r="22" spans="2:11" ht="15.75">
      <c r="B22" s="60" t="s">
        <v>114</v>
      </c>
      <c r="C22" s="63" t="s">
        <v>88</v>
      </c>
      <c r="D22" s="64" t="s">
        <v>115</v>
      </c>
      <c r="E22" s="114" t="s">
        <v>590</v>
      </c>
      <c r="F22" s="122" t="s">
        <v>775</v>
      </c>
      <c r="G22" s="128" t="s">
        <v>959</v>
      </c>
      <c r="H22" s="135" t="s">
        <v>1141</v>
      </c>
      <c r="I22" s="150" t="s">
        <v>1523</v>
      </c>
      <c r="J22" s="143" t="s">
        <v>1318</v>
      </c>
      <c r="K22" s="22"/>
    </row>
    <row r="23" spans="2:11" ht="30">
      <c r="B23" s="60" t="s">
        <v>116</v>
      </c>
      <c r="C23" s="63" t="s">
        <v>89</v>
      </c>
      <c r="D23" s="63" t="s">
        <v>117</v>
      </c>
      <c r="E23" s="114" t="s">
        <v>591</v>
      </c>
      <c r="F23" s="122" t="s">
        <v>776</v>
      </c>
      <c r="G23" s="128" t="s">
        <v>960</v>
      </c>
      <c r="H23" s="135" t="s">
        <v>1142</v>
      </c>
      <c r="I23" s="150" t="s">
        <v>1524</v>
      </c>
      <c r="J23" s="143" t="s">
        <v>1319</v>
      </c>
      <c r="K23" s="22"/>
    </row>
    <row r="24" spans="2:11" ht="15.75">
      <c r="B24" s="60" t="s">
        <v>118</v>
      </c>
      <c r="C24" s="63" t="s">
        <v>90</v>
      </c>
      <c r="D24" s="63" t="s">
        <v>119</v>
      </c>
      <c r="E24" s="114" t="s">
        <v>592</v>
      </c>
      <c r="F24" s="122" t="s">
        <v>777</v>
      </c>
      <c r="G24" s="128" t="s">
        <v>961</v>
      </c>
      <c r="H24" s="135" t="s">
        <v>1143</v>
      </c>
      <c r="I24" s="150" t="s">
        <v>1525</v>
      </c>
      <c r="J24" s="143" t="s">
        <v>1320</v>
      </c>
      <c r="K24" s="22"/>
    </row>
    <row r="25" spans="2:11">
      <c r="B25" s="60" t="s">
        <v>566</v>
      </c>
      <c r="C25" s="63" t="s">
        <v>567</v>
      </c>
      <c r="D25" s="63" t="s">
        <v>568</v>
      </c>
      <c r="E25" s="112" t="s">
        <v>593</v>
      </c>
      <c r="F25" s="119" t="s">
        <v>778</v>
      </c>
      <c r="G25" s="128" t="s">
        <v>962</v>
      </c>
      <c r="H25" s="135" t="s">
        <v>1144</v>
      </c>
      <c r="I25" s="148"/>
      <c r="J25" s="139" t="s">
        <v>1321</v>
      </c>
      <c r="K25" s="22"/>
    </row>
    <row r="26" spans="2:11" ht="45">
      <c r="B26" s="60" t="s">
        <v>569</v>
      </c>
      <c r="C26" s="96" t="s">
        <v>553</v>
      </c>
      <c r="D26" s="64" t="s">
        <v>552</v>
      </c>
      <c r="E26" s="112" t="s">
        <v>594</v>
      </c>
      <c r="F26" s="119" t="s">
        <v>779</v>
      </c>
      <c r="G26" s="128" t="s">
        <v>963</v>
      </c>
      <c r="H26" s="135" t="s">
        <v>1145</v>
      </c>
      <c r="I26" s="148" t="s">
        <v>1526</v>
      </c>
      <c r="J26" s="139" t="s">
        <v>1322</v>
      </c>
      <c r="K26" s="95"/>
    </row>
    <row r="27" spans="2:11">
      <c r="B27" s="102" t="s">
        <v>570</v>
      </c>
      <c r="C27" s="103" t="s">
        <v>571</v>
      </c>
      <c r="D27" s="103" t="s">
        <v>571</v>
      </c>
      <c r="E27" s="114" t="s">
        <v>595</v>
      </c>
      <c r="F27" s="122" t="s">
        <v>780</v>
      </c>
      <c r="G27" s="128" t="s">
        <v>964</v>
      </c>
      <c r="H27" s="135" t="s">
        <v>1146</v>
      </c>
      <c r="I27" s="150" t="s">
        <v>1527</v>
      </c>
      <c r="J27" s="141" t="s">
        <v>1323</v>
      </c>
      <c r="K27" s="22"/>
    </row>
    <row r="28" spans="2:11">
      <c r="B28" s="102" t="s">
        <v>572</v>
      </c>
      <c r="C28" s="104" t="s">
        <v>573</v>
      </c>
      <c r="D28" s="104" t="s">
        <v>574</v>
      </c>
      <c r="E28" s="114" t="s">
        <v>596</v>
      </c>
      <c r="F28" s="122" t="s">
        <v>781</v>
      </c>
      <c r="G28" s="128" t="s">
        <v>573</v>
      </c>
      <c r="H28" s="135" t="s">
        <v>1147</v>
      </c>
      <c r="I28" s="150" t="s">
        <v>1528</v>
      </c>
      <c r="J28" s="142" t="s">
        <v>1324</v>
      </c>
      <c r="K28" s="58"/>
    </row>
    <row r="29" spans="2:11" ht="240">
      <c r="B29" s="102" t="s">
        <v>575</v>
      </c>
      <c r="C29" s="104" t="s">
        <v>576</v>
      </c>
      <c r="D29" s="98" t="s">
        <v>577</v>
      </c>
      <c r="E29" s="117" t="s">
        <v>597</v>
      </c>
      <c r="F29" s="121" t="s">
        <v>782</v>
      </c>
      <c r="G29" s="132" t="s">
        <v>965</v>
      </c>
      <c r="H29" s="135" t="s">
        <v>1148</v>
      </c>
      <c r="I29" s="150" t="s">
        <v>1529</v>
      </c>
      <c r="J29" s="142" t="s">
        <v>1325</v>
      </c>
      <c r="K29" s="58"/>
    </row>
    <row r="30" spans="2:11">
      <c r="B30" s="6" t="s">
        <v>191</v>
      </c>
      <c r="C30" s="63" t="s">
        <v>558</v>
      </c>
      <c r="D30" s="63" t="s">
        <v>559</v>
      </c>
      <c r="E30" s="112" t="s">
        <v>598</v>
      </c>
      <c r="F30" s="119" t="s">
        <v>783</v>
      </c>
      <c r="G30" s="128" t="s">
        <v>966</v>
      </c>
      <c r="H30" s="135" t="s">
        <v>1149</v>
      </c>
      <c r="I30" s="148" t="s">
        <v>1530</v>
      </c>
      <c r="J30" s="139" t="s">
        <v>1326</v>
      </c>
      <c r="K30" s="22"/>
    </row>
    <row r="31" spans="2:11">
      <c r="B31" s="6" t="s">
        <v>192</v>
      </c>
      <c r="C31" s="63" t="s">
        <v>123</v>
      </c>
      <c r="D31" s="63" t="s">
        <v>525</v>
      </c>
      <c r="E31" s="112" t="s">
        <v>599</v>
      </c>
      <c r="F31" s="119" t="s">
        <v>784</v>
      </c>
      <c r="G31" s="128" t="s">
        <v>967</v>
      </c>
      <c r="H31" s="135" t="s">
        <v>1150</v>
      </c>
      <c r="I31" s="150" t="s">
        <v>1531</v>
      </c>
      <c r="J31" s="139" t="s">
        <v>1327</v>
      </c>
      <c r="K31" s="22"/>
    </row>
    <row r="32" spans="2:11">
      <c r="B32" s="6" t="s">
        <v>193</v>
      </c>
      <c r="C32" s="63" t="s">
        <v>124</v>
      </c>
      <c r="D32" s="63" t="s">
        <v>209</v>
      </c>
      <c r="E32" s="112" t="s">
        <v>600</v>
      </c>
      <c r="F32" s="119" t="s">
        <v>785</v>
      </c>
      <c r="G32" s="128" t="s">
        <v>968</v>
      </c>
      <c r="H32" s="135" t="s">
        <v>124</v>
      </c>
      <c r="I32" s="150" t="s">
        <v>1532</v>
      </c>
      <c r="J32" s="139" t="s">
        <v>600</v>
      </c>
      <c r="K32" s="22"/>
    </row>
    <row r="33" spans="2:11">
      <c r="B33" s="6" t="s">
        <v>194</v>
      </c>
      <c r="C33" s="63" t="s">
        <v>125</v>
      </c>
      <c r="D33" s="63" t="s">
        <v>125</v>
      </c>
      <c r="E33" s="112" t="s">
        <v>601</v>
      </c>
      <c r="F33" s="119" t="s">
        <v>786</v>
      </c>
      <c r="G33" s="131" t="s">
        <v>969</v>
      </c>
      <c r="H33" s="135" t="s">
        <v>125</v>
      </c>
      <c r="I33" s="150" t="s">
        <v>1533</v>
      </c>
      <c r="J33" s="139" t="s">
        <v>1328</v>
      </c>
      <c r="K33" s="22"/>
    </row>
    <row r="34" spans="2:11">
      <c r="B34" s="6" t="s">
        <v>195</v>
      </c>
      <c r="C34" s="63" t="s">
        <v>126</v>
      </c>
      <c r="D34" s="63" t="s">
        <v>210</v>
      </c>
      <c r="E34" s="112" t="s">
        <v>602</v>
      </c>
      <c r="F34" s="119" t="s">
        <v>787</v>
      </c>
      <c r="G34" s="128" t="s">
        <v>970</v>
      </c>
      <c r="H34" s="135" t="s">
        <v>1151</v>
      </c>
      <c r="I34" s="150" t="s">
        <v>1534</v>
      </c>
      <c r="J34" s="139" t="s">
        <v>1329</v>
      </c>
      <c r="K34" s="22"/>
    </row>
    <row r="35" spans="2:11">
      <c r="B35" s="6" t="s">
        <v>196</v>
      </c>
      <c r="C35" s="63" t="s">
        <v>127</v>
      </c>
      <c r="D35" s="63" t="s">
        <v>211</v>
      </c>
      <c r="E35" s="112" t="s">
        <v>603</v>
      </c>
      <c r="F35" s="119" t="s">
        <v>788</v>
      </c>
      <c r="G35" s="128" t="s">
        <v>971</v>
      </c>
      <c r="H35" s="135" t="s">
        <v>1152</v>
      </c>
      <c r="I35" s="150" t="s">
        <v>1535</v>
      </c>
      <c r="J35" s="139" t="s">
        <v>1330</v>
      </c>
      <c r="K35" s="22"/>
    </row>
    <row r="36" spans="2:11" ht="30">
      <c r="B36" s="61" t="s">
        <v>212</v>
      </c>
      <c r="C36" s="63" t="s">
        <v>560</v>
      </c>
      <c r="D36" s="63" t="s">
        <v>561</v>
      </c>
      <c r="E36" s="112" t="s">
        <v>604</v>
      </c>
      <c r="F36" s="119" t="s">
        <v>789</v>
      </c>
      <c r="G36" s="128" t="s">
        <v>972</v>
      </c>
      <c r="H36" s="135" t="s">
        <v>1153</v>
      </c>
      <c r="I36" s="148" t="s">
        <v>1536</v>
      </c>
      <c r="J36" s="139" t="s">
        <v>1331</v>
      </c>
      <c r="K36" s="22"/>
    </row>
    <row r="37" spans="2:11" ht="135">
      <c r="B37" s="61" t="s">
        <v>213</v>
      </c>
      <c r="C37" s="63" t="s">
        <v>214</v>
      </c>
      <c r="D37" s="63" t="s">
        <v>474</v>
      </c>
      <c r="E37" s="112" t="s">
        <v>605</v>
      </c>
      <c r="F37" s="119" t="s">
        <v>790</v>
      </c>
      <c r="G37" s="132" t="s">
        <v>973</v>
      </c>
      <c r="H37" s="135" t="s">
        <v>1154</v>
      </c>
      <c r="I37" s="148" t="s">
        <v>1537</v>
      </c>
      <c r="J37" s="139" t="s">
        <v>1332</v>
      </c>
      <c r="K37" s="22"/>
    </row>
    <row r="38" spans="2:11" ht="30">
      <c r="B38" s="61" t="s">
        <v>215</v>
      </c>
      <c r="C38" s="63" t="s">
        <v>173</v>
      </c>
      <c r="D38" s="63" t="s">
        <v>526</v>
      </c>
      <c r="E38" s="112" t="s">
        <v>606</v>
      </c>
      <c r="F38" s="119" t="s">
        <v>791</v>
      </c>
      <c r="G38" s="128" t="s">
        <v>974</v>
      </c>
      <c r="H38" s="135" t="s">
        <v>1155</v>
      </c>
      <c r="I38" s="148" t="s">
        <v>1538</v>
      </c>
      <c r="J38" s="139" t="s">
        <v>1333</v>
      </c>
      <c r="K38" s="22"/>
    </row>
    <row r="39" spans="2:11" ht="105">
      <c r="B39" s="61" t="s">
        <v>216</v>
      </c>
      <c r="C39" s="63" t="s">
        <v>178</v>
      </c>
      <c r="D39" s="63" t="s">
        <v>527</v>
      </c>
      <c r="E39" s="112" t="s">
        <v>607</v>
      </c>
      <c r="F39" s="119" t="s">
        <v>792</v>
      </c>
      <c r="G39" s="132" t="s">
        <v>975</v>
      </c>
      <c r="H39" s="135" t="s">
        <v>1156</v>
      </c>
      <c r="I39" s="148" t="s">
        <v>1539</v>
      </c>
      <c r="J39" s="139" t="s">
        <v>1334</v>
      </c>
      <c r="K39" s="22"/>
    </row>
    <row r="40" spans="2:11">
      <c r="B40" s="61" t="s">
        <v>217</v>
      </c>
      <c r="C40" s="20" t="s">
        <v>135</v>
      </c>
      <c r="D40" s="63" t="s">
        <v>475</v>
      </c>
      <c r="E40" s="115" t="s">
        <v>608</v>
      </c>
      <c r="F40" s="119" t="s">
        <v>793</v>
      </c>
      <c r="G40" s="128" t="s">
        <v>976</v>
      </c>
      <c r="H40" s="135" t="s">
        <v>1157</v>
      </c>
      <c r="I40" s="148" t="s">
        <v>1540</v>
      </c>
      <c r="J40" s="140" t="s">
        <v>1335</v>
      </c>
      <c r="K40" s="22"/>
    </row>
    <row r="41" spans="2:11">
      <c r="B41" s="61" t="s">
        <v>218</v>
      </c>
      <c r="C41" s="63" t="s">
        <v>136</v>
      </c>
      <c r="D41" s="63" t="s">
        <v>476</v>
      </c>
      <c r="E41" s="112" t="s">
        <v>609</v>
      </c>
      <c r="F41" s="119" t="s">
        <v>794</v>
      </c>
      <c r="G41" s="128" t="s">
        <v>977</v>
      </c>
      <c r="H41" s="135" t="s">
        <v>136</v>
      </c>
      <c r="I41" s="148" t="s">
        <v>1541</v>
      </c>
      <c r="J41" s="139" t="s">
        <v>1336</v>
      </c>
      <c r="K41" s="22"/>
    </row>
    <row r="42" spans="2:11">
      <c r="B42" s="61" t="s">
        <v>219</v>
      </c>
      <c r="C42" s="63" t="s">
        <v>174</v>
      </c>
      <c r="D42" s="63" t="s">
        <v>477</v>
      </c>
      <c r="E42" s="112" t="s">
        <v>610</v>
      </c>
      <c r="F42" s="119" t="s">
        <v>795</v>
      </c>
      <c r="G42" s="128" t="s">
        <v>978</v>
      </c>
      <c r="H42" s="135" t="s">
        <v>1158</v>
      </c>
      <c r="I42" s="148" t="s">
        <v>1542</v>
      </c>
      <c r="J42" s="139" t="s">
        <v>1337</v>
      </c>
      <c r="K42" s="22"/>
    </row>
    <row r="43" spans="2:11" ht="60">
      <c r="B43" s="61" t="s">
        <v>220</v>
      </c>
      <c r="C43" s="63" t="s">
        <v>478</v>
      </c>
      <c r="D43" s="63" t="s">
        <v>528</v>
      </c>
      <c r="E43" s="112" t="s">
        <v>611</v>
      </c>
      <c r="F43" s="119" t="s">
        <v>796</v>
      </c>
      <c r="G43" s="128" t="s">
        <v>979</v>
      </c>
      <c r="H43" s="135" t="s">
        <v>1159</v>
      </c>
      <c r="I43" s="148" t="s">
        <v>1543</v>
      </c>
      <c r="J43" s="139" t="s">
        <v>1338</v>
      </c>
      <c r="K43" s="22"/>
    </row>
    <row r="44" spans="2:11">
      <c r="B44" s="61" t="s">
        <v>221</v>
      </c>
      <c r="C44" s="63" t="s">
        <v>142</v>
      </c>
      <c r="D44" s="63" t="s">
        <v>479</v>
      </c>
      <c r="E44" s="112" t="s">
        <v>612</v>
      </c>
      <c r="F44" s="119" t="s">
        <v>797</v>
      </c>
      <c r="G44" s="128" t="s">
        <v>980</v>
      </c>
      <c r="H44" s="135" t="s">
        <v>1160</v>
      </c>
      <c r="I44" s="148" t="s">
        <v>1544</v>
      </c>
      <c r="J44" s="139" t="s">
        <v>1339</v>
      </c>
      <c r="K44" s="22"/>
    </row>
    <row r="45" spans="2:11" ht="64.5" customHeight="1">
      <c r="B45" s="61" t="s">
        <v>222</v>
      </c>
      <c r="C45" s="63" t="s">
        <v>480</v>
      </c>
      <c r="D45" s="63" t="s">
        <v>529</v>
      </c>
      <c r="E45" s="112" t="s">
        <v>613</v>
      </c>
      <c r="F45" s="119" t="s">
        <v>798</v>
      </c>
      <c r="G45" s="128" t="s">
        <v>981</v>
      </c>
      <c r="H45" s="135" t="s">
        <v>1161</v>
      </c>
      <c r="I45" s="148" t="s">
        <v>1545</v>
      </c>
      <c r="J45" s="139" t="s">
        <v>1340</v>
      </c>
      <c r="K45" s="22"/>
    </row>
    <row r="46" spans="2:11">
      <c r="B46" s="61" t="s">
        <v>223</v>
      </c>
      <c r="C46" s="63" t="s">
        <v>140</v>
      </c>
      <c r="D46" s="63" t="s">
        <v>481</v>
      </c>
      <c r="E46" s="112" t="s">
        <v>614</v>
      </c>
      <c r="F46" s="119" t="s">
        <v>799</v>
      </c>
      <c r="G46" s="128" t="s">
        <v>982</v>
      </c>
      <c r="H46" s="135" t="s">
        <v>1162</v>
      </c>
      <c r="I46" s="148" t="s">
        <v>1546</v>
      </c>
      <c r="J46" s="139" t="s">
        <v>1341</v>
      </c>
      <c r="K46" s="22"/>
    </row>
    <row r="47" spans="2:11" ht="30">
      <c r="B47" s="61" t="s">
        <v>224</v>
      </c>
      <c r="C47" s="63" t="s">
        <v>164</v>
      </c>
      <c r="D47" s="63" t="s">
        <v>482</v>
      </c>
      <c r="E47" s="112" t="s">
        <v>615</v>
      </c>
      <c r="F47" s="119" t="s">
        <v>800</v>
      </c>
      <c r="G47" s="128" t="s">
        <v>983</v>
      </c>
      <c r="H47" s="135" t="s">
        <v>1163</v>
      </c>
      <c r="I47" s="148" t="s">
        <v>1547</v>
      </c>
      <c r="J47" s="139" t="s">
        <v>1342</v>
      </c>
      <c r="K47" s="22"/>
    </row>
    <row r="48" spans="2:11">
      <c r="B48" s="61" t="s">
        <v>225</v>
      </c>
      <c r="C48" s="63" t="s">
        <v>141</v>
      </c>
      <c r="D48" s="63" t="s">
        <v>483</v>
      </c>
      <c r="E48" s="112" t="s">
        <v>616</v>
      </c>
      <c r="F48" s="119" t="s">
        <v>801</v>
      </c>
      <c r="G48" s="128" t="s">
        <v>984</v>
      </c>
      <c r="H48" s="135" t="s">
        <v>1164</v>
      </c>
      <c r="I48" s="148" t="s">
        <v>1548</v>
      </c>
      <c r="J48" s="139" t="s">
        <v>1343</v>
      </c>
      <c r="K48" s="22"/>
    </row>
    <row r="49" spans="2:11" ht="90">
      <c r="B49" s="61" t="s">
        <v>226</v>
      </c>
      <c r="C49" s="63" t="s">
        <v>547</v>
      </c>
      <c r="D49" s="63" t="s">
        <v>546</v>
      </c>
      <c r="E49" s="112" t="s">
        <v>617</v>
      </c>
      <c r="F49" s="119" t="s">
        <v>802</v>
      </c>
      <c r="G49" s="132" t="s">
        <v>985</v>
      </c>
      <c r="H49" s="135" t="s">
        <v>1165</v>
      </c>
      <c r="I49" s="148" t="s">
        <v>1549</v>
      </c>
      <c r="J49" s="139" t="s">
        <v>1344</v>
      </c>
      <c r="K49" s="22"/>
    </row>
    <row r="50" spans="2:11">
      <c r="B50" s="61" t="s">
        <v>229</v>
      </c>
      <c r="C50" s="63" t="s">
        <v>139</v>
      </c>
      <c r="D50" s="63" t="s">
        <v>484</v>
      </c>
      <c r="E50" s="112" t="s">
        <v>618</v>
      </c>
      <c r="F50" s="119" t="s">
        <v>803</v>
      </c>
      <c r="G50" s="128" t="s">
        <v>986</v>
      </c>
      <c r="H50" s="135" t="s">
        <v>1166</v>
      </c>
      <c r="I50" s="148" t="s">
        <v>1550</v>
      </c>
      <c r="J50" s="139" t="s">
        <v>1345</v>
      </c>
      <c r="K50" s="22"/>
    </row>
    <row r="51" spans="2:11" ht="45">
      <c r="B51" s="61" t="s">
        <v>232</v>
      </c>
      <c r="C51" s="63" t="s">
        <v>138</v>
      </c>
      <c r="D51" s="63" t="s">
        <v>485</v>
      </c>
      <c r="E51" s="112" t="s">
        <v>619</v>
      </c>
      <c r="F51" s="119" t="s">
        <v>804</v>
      </c>
      <c r="G51" s="128" t="s">
        <v>987</v>
      </c>
      <c r="H51" s="135" t="s">
        <v>1167</v>
      </c>
      <c r="I51" s="148" t="s">
        <v>1551</v>
      </c>
      <c r="J51" s="139" t="s">
        <v>1346</v>
      </c>
      <c r="K51" s="22"/>
    </row>
    <row r="52" spans="2:11" ht="30">
      <c r="B52" s="61" t="s">
        <v>230</v>
      </c>
      <c r="C52" s="63" t="s">
        <v>486</v>
      </c>
      <c r="D52" s="63" t="s">
        <v>531</v>
      </c>
      <c r="E52" s="112" t="s">
        <v>620</v>
      </c>
      <c r="F52" s="119" t="s">
        <v>805</v>
      </c>
      <c r="G52" s="128" t="s">
        <v>988</v>
      </c>
      <c r="H52" s="135" t="s">
        <v>1168</v>
      </c>
      <c r="I52" s="148" t="s">
        <v>1552</v>
      </c>
      <c r="J52" s="139" t="s">
        <v>1347</v>
      </c>
      <c r="K52" s="22"/>
    </row>
    <row r="53" spans="2:11" ht="75">
      <c r="B53" s="61" t="s">
        <v>233</v>
      </c>
      <c r="C53" s="63" t="s">
        <v>137</v>
      </c>
      <c r="D53" s="63" t="s">
        <v>530</v>
      </c>
      <c r="E53" s="112" t="s">
        <v>621</v>
      </c>
      <c r="F53" s="119" t="s">
        <v>806</v>
      </c>
      <c r="G53" s="128" t="s">
        <v>989</v>
      </c>
      <c r="H53" s="135" t="s">
        <v>1169</v>
      </c>
      <c r="I53" s="148" t="s">
        <v>1553</v>
      </c>
      <c r="J53" s="139" t="s">
        <v>1348</v>
      </c>
      <c r="K53" s="22"/>
    </row>
    <row r="54" spans="2:11">
      <c r="B54" s="61" t="s">
        <v>231</v>
      </c>
      <c r="C54" s="63" t="s">
        <v>227</v>
      </c>
      <c r="D54" s="63" t="s">
        <v>487</v>
      </c>
      <c r="E54" s="112" t="s">
        <v>622</v>
      </c>
      <c r="F54" s="119" t="s">
        <v>807</v>
      </c>
      <c r="G54" s="128" t="s">
        <v>990</v>
      </c>
      <c r="H54" s="135" t="s">
        <v>1170</v>
      </c>
      <c r="I54" s="148" t="s">
        <v>1554</v>
      </c>
      <c r="J54" s="139" t="s">
        <v>1349</v>
      </c>
      <c r="K54" s="22"/>
    </row>
    <row r="55" spans="2:11" ht="60">
      <c r="B55" s="61" t="s">
        <v>234</v>
      </c>
      <c r="C55" s="63" t="s">
        <v>228</v>
      </c>
      <c r="D55" s="63" t="s">
        <v>488</v>
      </c>
      <c r="E55" s="112" t="s">
        <v>623</v>
      </c>
      <c r="F55" s="119" t="s">
        <v>808</v>
      </c>
      <c r="G55" s="128" t="s">
        <v>991</v>
      </c>
      <c r="H55" s="135" t="s">
        <v>1171</v>
      </c>
      <c r="I55" s="148" t="s">
        <v>1555</v>
      </c>
      <c r="J55" s="139" t="s">
        <v>1350</v>
      </c>
      <c r="K55" s="22"/>
    </row>
    <row r="56" spans="2:11">
      <c r="B56" s="60" t="s">
        <v>240</v>
      </c>
      <c r="C56" s="63" t="s">
        <v>150</v>
      </c>
      <c r="D56" s="63" t="s">
        <v>489</v>
      </c>
      <c r="E56" s="112" t="s">
        <v>624</v>
      </c>
      <c r="F56" s="119" t="s">
        <v>809</v>
      </c>
      <c r="G56" s="128" t="s">
        <v>992</v>
      </c>
      <c r="H56" s="135" t="s">
        <v>1172</v>
      </c>
      <c r="I56" s="148" t="s">
        <v>1556</v>
      </c>
      <c r="J56" s="139" t="s">
        <v>1351</v>
      </c>
      <c r="K56" s="22"/>
    </row>
    <row r="57" spans="2:11">
      <c r="B57" s="60" t="s">
        <v>235</v>
      </c>
      <c r="C57" s="63" t="s">
        <v>152</v>
      </c>
      <c r="D57" s="63" t="s">
        <v>490</v>
      </c>
      <c r="E57" s="112" t="s">
        <v>625</v>
      </c>
      <c r="F57" s="119" t="s">
        <v>810</v>
      </c>
      <c r="G57" s="128" t="s">
        <v>993</v>
      </c>
      <c r="H57" s="135" t="s">
        <v>1173</v>
      </c>
      <c r="I57" s="148" t="s">
        <v>1557</v>
      </c>
      <c r="J57" s="139" t="s">
        <v>1352</v>
      </c>
      <c r="K57" s="22"/>
    </row>
    <row r="58" spans="2:11" ht="45">
      <c r="B58" s="60" t="s">
        <v>236</v>
      </c>
      <c r="C58" s="63" t="s">
        <v>532</v>
      </c>
      <c r="D58" s="63" t="s">
        <v>535</v>
      </c>
      <c r="E58" s="112" t="s">
        <v>626</v>
      </c>
      <c r="F58" s="119" t="s">
        <v>811</v>
      </c>
      <c r="G58" s="128" t="s">
        <v>994</v>
      </c>
      <c r="H58" s="135" t="s">
        <v>1174</v>
      </c>
      <c r="I58" s="148" t="s">
        <v>1558</v>
      </c>
      <c r="J58" s="139" t="s">
        <v>1353</v>
      </c>
      <c r="K58" s="22"/>
    </row>
    <row r="59" spans="2:11" ht="30">
      <c r="B59" s="60" t="s">
        <v>237</v>
      </c>
      <c r="C59" s="63" t="s">
        <v>533</v>
      </c>
      <c r="D59" s="63" t="s">
        <v>536</v>
      </c>
      <c r="E59" s="112" t="s">
        <v>627</v>
      </c>
      <c r="F59" s="119" t="s">
        <v>812</v>
      </c>
      <c r="G59" s="128" t="s">
        <v>995</v>
      </c>
      <c r="H59" s="135" t="s">
        <v>1175</v>
      </c>
      <c r="I59" s="148" t="s">
        <v>1559</v>
      </c>
      <c r="J59" s="139" t="s">
        <v>1354</v>
      </c>
      <c r="K59" s="22"/>
    </row>
    <row r="60" spans="2:11" ht="30">
      <c r="B60" s="60" t="s">
        <v>238</v>
      </c>
      <c r="C60" s="63" t="s">
        <v>534</v>
      </c>
      <c r="D60" s="63" t="s">
        <v>537</v>
      </c>
      <c r="E60" s="112" t="s">
        <v>628</v>
      </c>
      <c r="F60" s="119" t="s">
        <v>813</v>
      </c>
      <c r="G60" s="128" t="s">
        <v>996</v>
      </c>
      <c r="H60" s="135" t="s">
        <v>1176</v>
      </c>
      <c r="I60" s="148" t="s">
        <v>1560</v>
      </c>
      <c r="J60" s="139" t="s">
        <v>1355</v>
      </c>
      <c r="K60" s="22"/>
    </row>
    <row r="61" spans="2:11">
      <c r="B61" s="60" t="s">
        <v>346</v>
      </c>
      <c r="C61" s="63" t="s">
        <v>347</v>
      </c>
      <c r="D61" s="63" t="s">
        <v>491</v>
      </c>
      <c r="E61" s="116" t="s">
        <v>629</v>
      </c>
      <c r="F61" s="119" t="s">
        <v>814</v>
      </c>
      <c r="G61" s="128" t="s">
        <v>997</v>
      </c>
      <c r="H61" s="135" t="s">
        <v>1177</v>
      </c>
      <c r="I61" s="148" t="s">
        <v>1561</v>
      </c>
      <c r="J61" s="139" t="s">
        <v>1356</v>
      </c>
      <c r="K61" s="58"/>
    </row>
    <row r="62" spans="2:11">
      <c r="B62" s="60" t="s">
        <v>250</v>
      </c>
      <c r="C62" s="63" t="s">
        <v>144</v>
      </c>
      <c r="D62" s="63" t="s">
        <v>389</v>
      </c>
      <c r="E62" s="112" t="s">
        <v>630</v>
      </c>
      <c r="F62" s="119" t="s">
        <v>815</v>
      </c>
      <c r="G62" s="128" t="s">
        <v>998</v>
      </c>
      <c r="H62" s="135" t="s">
        <v>1178</v>
      </c>
      <c r="I62" s="148" t="s">
        <v>1562</v>
      </c>
      <c r="J62" s="139" t="s">
        <v>1357</v>
      </c>
      <c r="K62" s="58"/>
    </row>
    <row r="63" spans="2:11">
      <c r="B63" s="60" t="s">
        <v>239</v>
      </c>
      <c r="C63" s="63" t="s">
        <v>143</v>
      </c>
      <c r="D63" s="63" t="s">
        <v>492</v>
      </c>
      <c r="E63" s="112" t="s">
        <v>631</v>
      </c>
      <c r="F63" s="119" t="s">
        <v>816</v>
      </c>
      <c r="G63" s="128" t="s">
        <v>999</v>
      </c>
      <c r="H63" s="135" t="s">
        <v>1179</v>
      </c>
      <c r="I63" s="148" t="s">
        <v>1563</v>
      </c>
      <c r="J63" s="139" t="s">
        <v>1358</v>
      </c>
      <c r="K63" s="22"/>
    </row>
    <row r="64" spans="2:11" ht="30">
      <c r="B64" s="60" t="s">
        <v>251</v>
      </c>
      <c r="C64" s="63" t="s">
        <v>1</v>
      </c>
      <c r="D64" s="63" t="s">
        <v>376</v>
      </c>
      <c r="E64" s="112" t="s">
        <v>632</v>
      </c>
      <c r="F64" s="119" t="s">
        <v>817</v>
      </c>
      <c r="G64" s="128" t="s">
        <v>1000</v>
      </c>
      <c r="H64" s="135" t="s">
        <v>1180</v>
      </c>
      <c r="I64" s="148" t="s">
        <v>1564</v>
      </c>
      <c r="J64" s="139" t="s">
        <v>1359</v>
      </c>
      <c r="K64" s="22"/>
    </row>
    <row r="65" spans="2:11">
      <c r="B65" s="60" t="s">
        <v>252</v>
      </c>
      <c r="C65" s="63" t="s">
        <v>3</v>
      </c>
      <c r="D65" s="63" t="s">
        <v>377</v>
      </c>
      <c r="E65" s="112" t="s">
        <v>633</v>
      </c>
      <c r="F65" s="119" t="s">
        <v>818</v>
      </c>
      <c r="G65" s="128" t="s">
        <v>1001</v>
      </c>
      <c r="H65" s="135" t="s">
        <v>1181</v>
      </c>
      <c r="I65" s="148" t="s">
        <v>1565</v>
      </c>
      <c r="J65" s="139" t="s">
        <v>1360</v>
      </c>
      <c r="K65" s="22"/>
    </row>
    <row r="66" spans="2:11" ht="30">
      <c r="B66" s="60" t="s">
        <v>253</v>
      </c>
      <c r="C66" s="63" t="s">
        <v>4</v>
      </c>
      <c r="D66" s="63" t="s">
        <v>378</v>
      </c>
      <c r="E66" s="112" t="s">
        <v>634</v>
      </c>
      <c r="F66" s="119" t="s">
        <v>819</v>
      </c>
      <c r="G66" s="128" t="s">
        <v>1002</v>
      </c>
      <c r="H66" s="135" t="s">
        <v>1182</v>
      </c>
      <c r="I66" s="148" t="s">
        <v>1566</v>
      </c>
      <c r="J66" s="139" t="s">
        <v>1361</v>
      </c>
      <c r="K66" s="22"/>
    </row>
    <row r="67" spans="2:11" ht="30">
      <c r="B67" s="60" t="s">
        <v>254</v>
      </c>
      <c r="C67" s="63" t="s">
        <v>6</v>
      </c>
      <c r="D67" s="63" t="s">
        <v>379</v>
      </c>
      <c r="E67" s="112" t="s">
        <v>635</v>
      </c>
      <c r="F67" s="119" t="s">
        <v>820</v>
      </c>
      <c r="G67" s="128" t="s">
        <v>1003</v>
      </c>
      <c r="H67" s="135" t="s">
        <v>1183</v>
      </c>
      <c r="I67" s="148" t="s">
        <v>1567</v>
      </c>
      <c r="J67" s="139" t="s">
        <v>1362</v>
      </c>
      <c r="K67" s="22"/>
    </row>
    <row r="68" spans="2:11">
      <c r="B68" s="60" t="s">
        <v>255</v>
      </c>
      <c r="C68" s="63" t="s">
        <v>8</v>
      </c>
      <c r="D68" s="63" t="s">
        <v>380</v>
      </c>
      <c r="E68" s="112" t="s">
        <v>636</v>
      </c>
      <c r="F68" s="119" t="s">
        <v>821</v>
      </c>
      <c r="G68" s="128" t="s">
        <v>1004</v>
      </c>
      <c r="H68" s="135" t="s">
        <v>1184</v>
      </c>
      <c r="I68" s="148" t="s">
        <v>1568</v>
      </c>
      <c r="J68" s="139" t="s">
        <v>1363</v>
      </c>
      <c r="K68" s="22"/>
    </row>
    <row r="69" spans="2:11">
      <c r="B69" s="60" t="s">
        <v>256</v>
      </c>
      <c r="C69" s="63" t="s">
        <v>9</v>
      </c>
      <c r="D69" s="63" t="s">
        <v>381</v>
      </c>
      <c r="E69" s="112" t="s">
        <v>637</v>
      </c>
      <c r="F69" s="119" t="s">
        <v>822</v>
      </c>
      <c r="G69" s="128" t="s">
        <v>1005</v>
      </c>
      <c r="H69" s="135" t="s">
        <v>1185</v>
      </c>
      <c r="I69" s="148" t="s">
        <v>1569</v>
      </c>
      <c r="J69" s="139" t="s">
        <v>1364</v>
      </c>
      <c r="K69" s="22"/>
    </row>
    <row r="70" spans="2:11">
      <c r="B70" s="60" t="s">
        <v>257</v>
      </c>
      <c r="C70" s="63" t="s">
        <v>11</v>
      </c>
      <c r="D70" s="63" t="s">
        <v>382</v>
      </c>
      <c r="E70" s="112" t="s">
        <v>638</v>
      </c>
      <c r="F70" s="119" t="s">
        <v>823</v>
      </c>
      <c r="G70" s="128" t="s">
        <v>1006</v>
      </c>
      <c r="H70" s="135" t="s">
        <v>1186</v>
      </c>
      <c r="I70" s="148" t="s">
        <v>1570</v>
      </c>
      <c r="J70" s="139" t="s">
        <v>1365</v>
      </c>
      <c r="K70" s="22"/>
    </row>
    <row r="71" spans="2:11">
      <c r="B71" s="60" t="s">
        <v>258</v>
      </c>
      <c r="C71" s="63" t="s">
        <v>12</v>
      </c>
      <c r="D71" s="63" t="s">
        <v>383</v>
      </c>
      <c r="E71" s="112" t="s">
        <v>639</v>
      </c>
      <c r="F71" s="119" t="s">
        <v>824</v>
      </c>
      <c r="G71" s="128" t="s">
        <v>1007</v>
      </c>
      <c r="H71" s="135" t="s">
        <v>1187</v>
      </c>
      <c r="I71" s="148" t="s">
        <v>1571</v>
      </c>
      <c r="J71" s="139" t="s">
        <v>1366</v>
      </c>
      <c r="K71" s="22"/>
    </row>
    <row r="72" spans="2:11">
      <c r="B72" s="60" t="s">
        <v>259</v>
      </c>
      <c r="C72" s="2" t="s">
        <v>14</v>
      </c>
      <c r="D72" s="63" t="s">
        <v>384</v>
      </c>
      <c r="E72" s="112" t="s">
        <v>640</v>
      </c>
      <c r="F72" s="119" t="s">
        <v>825</v>
      </c>
      <c r="G72" s="128" t="s">
        <v>1008</v>
      </c>
      <c r="H72" s="135" t="s">
        <v>1188</v>
      </c>
      <c r="I72" s="148" t="s">
        <v>1572</v>
      </c>
      <c r="J72" s="138" t="s">
        <v>1367</v>
      </c>
      <c r="K72" s="22"/>
    </row>
    <row r="73" spans="2:11">
      <c r="B73" s="60" t="s">
        <v>260</v>
      </c>
      <c r="C73" s="2" t="s">
        <v>15</v>
      </c>
      <c r="D73" s="63" t="s">
        <v>385</v>
      </c>
      <c r="E73" s="112" t="s">
        <v>641</v>
      </c>
      <c r="F73" s="119" t="s">
        <v>826</v>
      </c>
      <c r="G73" s="128" t="s">
        <v>1009</v>
      </c>
      <c r="H73" s="135" t="s">
        <v>1189</v>
      </c>
      <c r="I73" s="148" t="s">
        <v>1573</v>
      </c>
      <c r="J73" s="138" t="s">
        <v>1368</v>
      </c>
      <c r="K73" s="22"/>
    </row>
    <row r="74" spans="2:11">
      <c r="B74" s="60" t="s">
        <v>261</v>
      </c>
      <c r="C74" s="2" t="s">
        <v>16</v>
      </c>
      <c r="D74" s="63" t="s">
        <v>386</v>
      </c>
      <c r="E74" s="112" t="s">
        <v>642</v>
      </c>
      <c r="F74" s="119" t="s">
        <v>827</v>
      </c>
      <c r="G74" s="128" t="s">
        <v>1010</v>
      </c>
      <c r="H74" s="135" t="s">
        <v>1190</v>
      </c>
      <c r="I74" s="148" t="s">
        <v>1574</v>
      </c>
      <c r="J74" s="138" t="s">
        <v>1369</v>
      </c>
      <c r="K74" s="58"/>
    </row>
    <row r="75" spans="2:11">
      <c r="B75" s="60" t="s">
        <v>262</v>
      </c>
      <c r="C75" s="2" t="s">
        <v>18</v>
      </c>
      <c r="D75" s="63" t="s">
        <v>387</v>
      </c>
      <c r="E75" s="112" t="s">
        <v>643</v>
      </c>
      <c r="F75" s="119" t="s">
        <v>828</v>
      </c>
      <c r="G75" s="128" t="s">
        <v>1011</v>
      </c>
      <c r="H75" s="135" t="s">
        <v>1191</v>
      </c>
      <c r="I75" s="148" t="s">
        <v>1575</v>
      </c>
      <c r="J75" s="138" t="s">
        <v>1370</v>
      </c>
      <c r="K75" s="58"/>
    </row>
    <row r="76" spans="2:11">
      <c r="B76" s="60" t="s">
        <v>263</v>
      </c>
      <c r="C76" s="2" t="s">
        <v>19</v>
      </c>
      <c r="D76" s="63" t="s">
        <v>388</v>
      </c>
      <c r="E76" s="112" t="s">
        <v>644</v>
      </c>
      <c r="F76" s="119" t="s">
        <v>829</v>
      </c>
      <c r="G76" s="128" t="s">
        <v>1012</v>
      </c>
      <c r="H76" s="135" t="s">
        <v>1192</v>
      </c>
      <c r="I76" s="148" t="s">
        <v>1576</v>
      </c>
      <c r="J76" s="138" t="s">
        <v>1371</v>
      </c>
      <c r="K76" s="58"/>
    </row>
    <row r="77" spans="2:11">
      <c r="B77" s="60" t="s">
        <v>264</v>
      </c>
      <c r="C77" s="2" t="s">
        <v>2</v>
      </c>
      <c r="D77" s="63" t="s">
        <v>390</v>
      </c>
      <c r="E77" s="112" t="s">
        <v>645</v>
      </c>
      <c r="F77" s="119" t="s">
        <v>830</v>
      </c>
      <c r="G77" s="128" t="s">
        <v>1013</v>
      </c>
      <c r="H77" s="135" t="s">
        <v>1193</v>
      </c>
      <c r="I77" s="148" t="s">
        <v>1577</v>
      </c>
      <c r="J77" s="138" t="s">
        <v>1372</v>
      </c>
      <c r="K77" s="58"/>
    </row>
    <row r="78" spans="2:11">
      <c r="B78" s="60" t="s">
        <v>265</v>
      </c>
      <c r="C78" s="2" t="s">
        <v>160</v>
      </c>
      <c r="D78" s="63" t="s">
        <v>391</v>
      </c>
      <c r="E78" s="112" t="s">
        <v>646</v>
      </c>
      <c r="F78" s="119" t="s">
        <v>831</v>
      </c>
      <c r="G78" s="128" t="s">
        <v>1014</v>
      </c>
      <c r="H78" s="135" t="s">
        <v>1194</v>
      </c>
      <c r="I78" s="148" t="s">
        <v>1578</v>
      </c>
      <c r="J78" s="138" t="s">
        <v>1373</v>
      </c>
      <c r="K78" s="22"/>
    </row>
    <row r="79" spans="2:11">
      <c r="B79" s="60" t="s">
        <v>266</v>
      </c>
      <c r="C79" s="2" t="s">
        <v>5</v>
      </c>
      <c r="D79" s="63" t="s">
        <v>392</v>
      </c>
      <c r="E79" s="112" t="s">
        <v>647</v>
      </c>
      <c r="F79" s="119" t="s">
        <v>832</v>
      </c>
      <c r="G79" s="128" t="s">
        <v>1015</v>
      </c>
      <c r="H79" s="135" t="s">
        <v>1195</v>
      </c>
      <c r="I79" s="148" t="s">
        <v>1579</v>
      </c>
      <c r="J79" s="138" t="s">
        <v>1374</v>
      </c>
      <c r="K79" s="58"/>
    </row>
    <row r="80" spans="2:11">
      <c r="B80" s="60" t="s">
        <v>267</v>
      </c>
      <c r="C80" s="2" t="s">
        <v>7</v>
      </c>
      <c r="D80" s="63" t="s">
        <v>393</v>
      </c>
      <c r="E80" s="112" t="s">
        <v>648</v>
      </c>
      <c r="F80" s="119" t="s">
        <v>833</v>
      </c>
      <c r="G80" s="128" t="s">
        <v>1016</v>
      </c>
      <c r="H80" s="135" t="s">
        <v>1196</v>
      </c>
      <c r="I80" s="148" t="s">
        <v>1580</v>
      </c>
      <c r="J80" s="138" t="s">
        <v>1375</v>
      </c>
      <c r="K80" s="58"/>
    </row>
    <row r="81" spans="2:11" ht="45">
      <c r="B81" s="60" t="s">
        <v>268</v>
      </c>
      <c r="C81" s="2" t="s">
        <v>161</v>
      </c>
      <c r="D81" s="63" t="s">
        <v>394</v>
      </c>
      <c r="E81" s="112" t="s">
        <v>649</v>
      </c>
      <c r="F81" s="119" t="s">
        <v>834</v>
      </c>
      <c r="G81" s="128" t="s">
        <v>1017</v>
      </c>
      <c r="H81" s="135" t="s">
        <v>1197</v>
      </c>
      <c r="I81" s="148" t="s">
        <v>1581</v>
      </c>
      <c r="J81" s="138" t="s">
        <v>1376</v>
      </c>
      <c r="K81" s="22"/>
    </row>
    <row r="82" spans="2:11">
      <c r="B82" s="60" t="s">
        <v>269</v>
      </c>
      <c r="C82" s="2" t="s">
        <v>10</v>
      </c>
      <c r="D82" s="63" t="s">
        <v>395</v>
      </c>
      <c r="E82" s="112" t="s">
        <v>650</v>
      </c>
      <c r="F82" s="119" t="s">
        <v>835</v>
      </c>
      <c r="G82" s="128" t="s">
        <v>1018</v>
      </c>
      <c r="H82" s="135" t="s">
        <v>1198</v>
      </c>
      <c r="I82" s="148" t="s">
        <v>1582</v>
      </c>
      <c r="J82" s="138" t="s">
        <v>1377</v>
      </c>
      <c r="K82" s="22"/>
    </row>
    <row r="83" spans="2:11">
      <c r="B83" s="60" t="s">
        <v>270</v>
      </c>
      <c r="C83" s="2" t="s">
        <v>188</v>
      </c>
      <c r="D83" s="63" t="s">
        <v>396</v>
      </c>
      <c r="E83" s="112" t="s">
        <v>651</v>
      </c>
      <c r="F83" s="119" t="s">
        <v>836</v>
      </c>
      <c r="G83" s="128" t="s">
        <v>1019</v>
      </c>
      <c r="H83" s="135" t="s">
        <v>1199</v>
      </c>
      <c r="I83" s="148" t="s">
        <v>1583</v>
      </c>
      <c r="J83" s="138" t="s">
        <v>1378</v>
      </c>
      <c r="K83" s="22"/>
    </row>
    <row r="84" spans="2:11">
      <c r="B84" s="60" t="s">
        <v>271</v>
      </c>
      <c r="C84" s="2" t="s">
        <v>13</v>
      </c>
      <c r="D84" s="63" t="s">
        <v>397</v>
      </c>
      <c r="E84" s="112" t="s">
        <v>652</v>
      </c>
      <c r="F84" s="119" t="s">
        <v>837</v>
      </c>
      <c r="G84" s="128" t="s">
        <v>1020</v>
      </c>
      <c r="H84" s="135" t="s">
        <v>1200</v>
      </c>
      <c r="I84" s="148" t="s">
        <v>1584</v>
      </c>
      <c r="J84" s="138" t="s">
        <v>1379</v>
      </c>
      <c r="K84" s="22"/>
    </row>
    <row r="85" spans="2:11" ht="15" customHeight="1">
      <c r="B85" s="60" t="s">
        <v>272</v>
      </c>
      <c r="C85" s="63" t="s">
        <v>189</v>
      </c>
      <c r="D85" s="63" t="s">
        <v>544</v>
      </c>
      <c r="E85" s="112" t="s">
        <v>653</v>
      </c>
      <c r="F85" s="119" t="s">
        <v>838</v>
      </c>
      <c r="G85" s="128" t="s">
        <v>1021</v>
      </c>
      <c r="H85" s="135" t="s">
        <v>1201</v>
      </c>
      <c r="I85" s="148" t="s">
        <v>1585</v>
      </c>
      <c r="J85" s="139" t="s">
        <v>1380</v>
      </c>
      <c r="K85" s="22"/>
    </row>
    <row r="86" spans="2:11">
      <c r="B86" s="60" t="s">
        <v>273</v>
      </c>
      <c r="C86" s="63" t="s">
        <v>578</v>
      </c>
      <c r="D86" s="63" t="s">
        <v>579</v>
      </c>
      <c r="E86" s="112" t="s">
        <v>654</v>
      </c>
      <c r="F86" s="119" t="s">
        <v>1492</v>
      </c>
      <c r="G86" s="128" t="s">
        <v>1489</v>
      </c>
      <c r="H86" s="135" t="s">
        <v>1493</v>
      </c>
      <c r="I86" s="148" t="s">
        <v>1586</v>
      </c>
      <c r="J86" s="139" t="s">
        <v>1494</v>
      </c>
      <c r="K86" s="22"/>
    </row>
    <row r="87" spans="2:11">
      <c r="B87" s="60" t="s">
        <v>274</v>
      </c>
      <c r="C87" s="63" t="s">
        <v>17</v>
      </c>
      <c r="D87" s="63" t="s">
        <v>398</v>
      </c>
      <c r="E87" s="112" t="s">
        <v>655</v>
      </c>
      <c r="F87" s="119" t="s">
        <v>839</v>
      </c>
      <c r="G87" s="128" t="s">
        <v>1022</v>
      </c>
      <c r="H87" s="135" t="s">
        <v>1202</v>
      </c>
      <c r="I87" s="148" t="s">
        <v>1587</v>
      </c>
      <c r="J87" s="139" t="s">
        <v>1381</v>
      </c>
      <c r="K87" s="22"/>
    </row>
    <row r="88" spans="2:11">
      <c r="B88" s="60" t="s">
        <v>275</v>
      </c>
      <c r="C88" s="63" t="s">
        <v>578</v>
      </c>
      <c r="D88" s="63" t="s">
        <v>579</v>
      </c>
      <c r="E88" s="112" t="s">
        <v>654</v>
      </c>
      <c r="F88" s="119" t="s">
        <v>1492</v>
      </c>
      <c r="G88" s="128" t="s">
        <v>1495</v>
      </c>
      <c r="H88" s="135" t="s">
        <v>1493</v>
      </c>
      <c r="I88" s="148" t="s">
        <v>1586</v>
      </c>
      <c r="J88" s="139" t="s">
        <v>1494</v>
      </c>
      <c r="K88" s="22"/>
    </row>
    <row r="89" spans="2:11">
      <c r="B89" s="60" t="s">
        <v>276</v>
      </c>
      <c r="C89" s="63" t="s">
        <v>20</v>
      </c>
      <c r="D89" s="63" t="s">
        <v>399</v>
      </c>
      <c r="E89" s="112" t="s">
        <v>656</v>
      </c>
      <c r="F89" s="119" t="s">
        <v>840</v>
      </c>
      <c r="G89" s="128" t="s">
        <v>1023</v>
      </c>
      <c r="H89" s="135" t="s">
        <v>1203</v>
      </c>
      <c r="I89" s="148" t="s">
        <v>1588</v>
      </c>
      <c r="J89" s="139" t="s">
        <v>1382</v>
      </c>
      <c r="K89" s="22"/>
    </row>
    <row r="90" spans="2:11">
      <c r="B90" s="60" t="s">
        <v>241</v>
      </c>
      <c r="C90" s="63" t="s">
        <v>145</v>
      </c>
      <c r="D90" s="63" t="s">
        <v>400</v>
      </c>
      <c r="E90" s="112" t="s">
        <v>657</v>
      </c>
      <c r="F90" s="119" t="s">
        <v>841</v>
      </c>
      <c r="G90" s="128" t="s">
        <v>1024</v>
      </c>
      <c r="H90" s="135" t="s">
        <v>1204</v>
      </c>
      <c r="I90" s="148" t="s">
        <v>1589</v>
      </c>
      <c r="J90" s="139" t="s">
        <v>1383</v>
      </c>
      <c r="K90" s="58"/>
    </row>
    <row r="91" spans="2:11">
      <c r="B91" s="60" t="s">
        <v>242</v>
      </c>
      <c r="C91" s="63" t="s">
        <v>21</v>
      </c>
      <c r="D91" s="63" t="s">
        <v>401</v>
      </c>
      <c r="E91" s="112" t="s">
        <v>658</v>
      </c>
      <c r="F91" s="119" t="s">
        <v>842</v>
      </c>
      <c r="G91" s="128" t="s">
        <v>1025</v>
      </c>
      <c r="H91" s="135" t="s">
        <v>1205</v>
      </c>
      <c r="I91" s="148" t="s">
        <v>1590</v>
      </c>
      <c r="J91" s="139" t="s">
        <v>1384</v>
      </c>
      <c r="K91" s="22"/>
    </row>
    <row r="92" spans="2:11">
      <c r="B92" s="60" t="s">
        <v>243</v>
      </c>
      <c r="C92" s="63" t="s">
        <v>23</v>
      </c>
      <c r="D92" s="63" t="s">
        <v>402</v>
      </c>
      <c r="E92" s="112" t="s">
        <v>659</v>
      </c>
      <c r="F92" s="119" t="s">
        <v>843</v>
      </c>
      <c r="G92" s="128" t="s">
        <v>1026</v>
      </c>
      <c r="H92" s="135" t="s">
        <v>1206</v>
      </c>
      <c r="I92" s="148" t="s">
        <v>1591</v>
      </c>
      <c r="J92" s="139" t="s">
        <v>1385</v>
      </c>
      <c r="K92" s="22"/>
    </row>
    <row r="93" spans="2:11">
      <c r="B93" s="60" t="s">
        <v>244</v>
      </c>
      <c r="C93" s="63" t="s">
        <v>25</v>
      </c>
      <c r="D93" s="63" t="s">
        <v>403</v>
      </c>
      <c r="E93" s="112" t="s">
        <v>660</v>
      </c>
      <c r="F93" s="119" t="s">
        <v>844</v>
      </c>
      <c r="G93" s="128" t="s">
        <v>1027</v>
      </c>
      <c r="H93" s="135" t="s">
        <v>1207</v>
      </c>
      <c r="I93" s="148" t="s">
        <v>1592</v>
      </c>
      <c r="J93" s="139" t="s">
        <v>1386</v>
      </c>
      <c r="K93" s="22"/>
    </row>
    <row r="94" spans="2:11">
      <c r="B94" s="60" t="s">
        <v>245</v>
      </c>
      <c r="C94" s="63" t="s">
        <v>26</v>
      </c>
      <c r="D94" s="63" t="s">
        <v>404</v>
      </c>
      <c r="E94" s="112" t="s">
        <v>661</v>
      </c>
      <c r="F94" s="119" t="s">
        <v>845</v>
      </c>
      <c r="G94" s="128" t="s">
        <v>1028</v>
      </c>
      <c r="H94" s="135" t="s">
        <v>1208</v>
      </c>
      <c r="I94" s="148" t="s">
        <v>1593</v>
      </c>
      <c r="J94" s="139" t="s">
        <v>1387</v>
      </c>
      <c r="K94" s="22"/>
    </row>
    <row r="95" spans="2:11">
      <c r="B95" s="60" t="s">
        <v>246</v>
      </c>
      <c r="C95" s="63" t="s">
        <v>27</v>
      </c>
      <c r="D95" s="63" t="s">
        <v>405</v>
      </c>
      <c r="E95" s="112" t="s">
        <v>662</v>
      </c>
      <c r="F95" s="119" t="s">
        <v>846</v>
      </c>
      <c r="G95" s="128" t="s">
        <v>1029</v>
      </c>
      <c r="H95" s="135" t="s">
        <v>1209</v>
      </c>
      <c r="I95" s="148" t="s">
        <v>1594</v>
      </c>
      <c r="J95" s="139" t="s">
        <v>1388</v>
      </c>
      <c r="K95" s="22"/>
    </row>
    <row r="96" spans="2:11">
      <c r="B96" s="60" t="s">
        <v>247</v>
      </c>
      <c r="C96" s="63" t="s">
        <v>28</v>
      </c>
      <c r="D96" s="63" t="s">
        <v>406</v>
      </c>
      <c r="E96" s="112" t="s">
        <v>663</v>
      </c>
      <c r="F96" s="119" t="s">
        <v>847</v>
      </c>
      <c r="G96" s="128" t="s">
        <v>1030</v>
      </c>
      <c r="H96" s="135" t="s">
        <v>1210</v>
      </c>
      <c r="I96" s="148" t="s">
        <v>1595</v>
      </c>
      <c r="J96" s="139" t="s">
        <v>1389</v>
      </c>
      <c r="K96" s="22"/>
    </row>
    <row r="97" spans="2:11">
      <c r="B97" s="60" t="s">
        <v>248</v>
      </c>
      <c r="C97" s="63" t="s">
        <v>30</v>
      </c>
      <c r="D97" s="63" t="s">
        <v>407</v>
      </c>
      <c r="E97" s="112" t="s">
        <v>664</v>
      </c>
      <c r="F97" s="119" t="s">
        <v>848</v>
      </c>
      <c r="G97" s="128" t="s">
        <v>1031</v>
      </c>
      <c r="H97" s="135" t="s">
        <v>1211</v>
      </c>
      <c r="I97" s="148" t="s">
        <v>1596</v>
      </c>
      <c r="J97" s="139" t="s">
        <v>1390</v>
      </c>
      <c r="K97" s="22"/>
    </row>
    <row r="98" spans="2:11" ht="30">
      <c r="B98" s="60" t="s">
        <v>249</v>
      </c>
      <c r="C98" s="63" t="s">
        <v>31</v>
      </c>
      <c r="D98" s="63" t="s">
        <v>408</v>
      </c>
      <c r="E98" s="112" t="s">
        <v>665</v>
      </c>
      <c r="F98" s="119" t="s">
        <v>849</v>
      </c>
      <c r="G98" s="128" t="s">
        <v>1032</v>
      </c>
      <c r="H98" s="135" t="s">
        <v>1212</v>
      </c>
      <c r="I98" s="148" t="s">
        <v>1597</v>
      </c>
      <c r="J98" s="139" t="s">
        <v>1391</v>
      </c>
      <c r="K98" s="22"/>
    </row>
    <row r="99" spans="2:11">
      <c r="B99" s="60" t="s">
        <v>277</v>
      </c>
      <c r="C99" s="63" t="s">
        <v>22</v>
      </c>
      <c r="D99" s="63" t="s">
        <v>409</v>
      </c>
      <c r="E99" s="112" t="s">
        <v>666</v>
      </c>
      <c r="F99" s="119" t="s">
        <v>850</v>
      </c>
      <c r="G99" s="128" t="s">
        <v>1033</v>
      </c>
      <c r="H99" s="135" t="s">
        <v>1213</v>
      </c>
      <c r="I99" s="148" t="s">
        <v>1598</v>
      </c>
      <c r="J99" s="139" t="s">
        <v>1392</v>
      </c>
      <c r="K99" s="22"/>
    </row>
    <row r="100" spans="2:11">
      <c r="B100" s="60" t="s">
        <v>278</v>
      </c>
      <c r="C100" s="63" t="s">
        <v>24</v>
      </c>
      <c r="D100" s="63" t="s">
        <v>410</v>
      </c>
      <c r="E100" s="112" t="s">
        <v>667</v>
      </c>
      <c r="F100" s="119" t="s">
        <v>851</v>
      </c>
      <c r="G100" s="128" t="s">
        <v>1034</v>
      </c>
      <c r="H100" s="135" t="s">
        <v>1214</v>
      </c>
      <c r="I100" s="148" t="s">
        <v>1599</v>
      </c>
      <c r="J100" s="139" t="s">
        <v>1393</v>
      </c>
      <c r="K100" s="22"/>
    </row>
    <row r="101" spans="2:11">
      <c r="B101" s="60" t="s">
        <v>279</v>
      </c>
      <c r="C101" s="63" t="s">
        <v>1490</v>
      </c>
      <c r="D101" s="63" t="s">
        <v>1496</v>
      </c>
      <c r="E101" s="112" t="s">
        <v>1497</v>
      </c>
      <c r="F101" s="119" t="s">
        <v>1498</v>
      </c>
      <c r="G101" s="128" t="s">
        <v>1499</v>
      </c>
      <c r="H101" s="135" t="s">
        <v>1500</v>
      </c>
      <c r="I101" s="148" t="s">
        <v>1600</v>
      </c>
      <c r="J101" s="139" t="s">
        <v>1501</v>
      </c>
      <c r="K101" s="22"/>
    </row>
    <row r="102" spans="2:11" ht="15" customHeight="1">
      <c r="B102" s="60" t="s">
        <v>280</v>
      </c>
      <c r="C102" s="63" t="s">
        <v>159</v>
      </c>
      <c r="D102" s="63" t="s">
        <v>411</v>
      </c>
      <c r="E102" s="112" t="s">
        <v>668</v>
      </c>
      <c r="F102" s="119" t="s">
        <v>852</v>
      </c>
      <c r="G102" s="128" t="s">
        <v>1035</v>
      </c>
      <c r="H102" s="135" t="s">
        <v>1215</v>
      </c>
      <c r="I102" s="148" t="s">
        <v>1601</v>
      </c>
      <c r="J102" s="139" t="s">
        <v>1394</v>
      </c>
      <c r="K102" s="22"/>
    </row>
    <row r="103" spans="2:11">
      <c r="B103" s="60" t="s">
        <v>281</v>
      </c>
      <c r="C103" s="63" t="s">
        <v>22</v>
      </c>
      <c r="D103" s="63" t="s">
        <v>409</v>
      </c>
      <c r="E103" s="112" t="s">
        <v>666</v>
      </c>
      <c r="F103" s="119" t="s">
        <v>850</v>
      </c>
      <c r="G103" s="128" t="s">
        <v>1033</v>
      </c>
      <c r="H103" s="135" t="s">
        <v>1213</v>
      </c>
      <c r="I103" s="148" t="s">
        <v>1602</v>
      </c>
      <c r="J103" s="139" t="s">
        <v>1393</v>
      </c>
      <c r="K103" s="22"/>
    </row>
    <row r="104" spans="2:11">
      <c r="B104" s="60" t="s">
        <v>282</v>
      </c>
      <c r="C104" s="63" t="s">
        <v>29</v>
      </c>
      <c r="D104" s="63" t="s">
        <v>412</v>
      </c>
      <c r="E104" s="112" t="s">
        <v>669</v>
      </c>
      <c r="F104" s="119" t="s">
        <v>853</v>
      </c>
      <c r="G104" s="128" t="s">
        <v>1036</v>
      </c>
      <c r="H104" s="135" t="s">
        <v>29</v>
      </c>
      <c r="I104" s="148" t="s">
        <v>1603</v>
      </c>
      <c r="J104" s="139" t="s">
        <v>1395</v>
      </c>
      <c r="K104" s="22"/>
    </row>
    <row r="105" spans="2:11">
      <c r="B105" s="60" t="s">
        <v>283</v>
      </c>
      <c r="C105" s="63" t="s">
        <v>22</v>
      </c>
      <c r="D105" s="63" t="s">
        <v>409</v>
      </c>
      <c r="E105" s="112" t="s">
        <v>666</v>
      </c>
      <c r="F105" s="119" t="s">
        <v>850</v>
      </c>
      <c r="G105" s="128" t="s">
        <v>1037</v>
      </c>
      <c r="H105" s="135" t="s">
        <v>1213</v>
      </c>
      <c r="I105" s="148" t="s">
        <v>1602</v>
      </c>
      <c r="J105" s="139" t="s">
        <v>1393</v>
      </c>
      <c r="K105" s="22"/>
    </row>
    <row r="106" spans="2:11">
      <c r="B106" s="60" t="s">
        <v>284</v>
      </c>
      <c r="C106" s="63" t="s">
        <v>146</v>
      </c>
      <c r="D106" s="63" t="s">
        <v>413</v>
      </c>
      <c r="E106" s="112" t="s">
        <v>670</v>
      </c>
      <c r="F106" s="119" t="s">
        <v>854</v>
      </c>
      <c r="G106" s="128" t="s">
        <v>1038</v>
      </c>
      <c r="H106" s="135" t="s">
        <v>1216</v>
      </c>
      <c r="I106" s="148" t="s">
        <v>1604</v>
      </c>
      <c r="J106" s="139" t="s">
        <v>1396</v>
      </c>
      <c r="K106" s="22"/>
    </row>
    <row r="107" spans="2:11">
      <c r="B107" s="60" t="s">
        <v>285</v>
      </c>
      <c r="C107" s="63" t="s">
        <v>32</v>
      </c>
      <c r="D107" s="63" t="s">
        <v>414</v>
      </c>
      <c r="E107" s="112" t="s">
        <v>671</v>
      </c>
      <c r="F107" s="119" t="s">
        <v>855</v>
      </c>
      <c r="G107" s="128" t="s">
        <v>1039</v>
      </c>
      <c r="H107" s="135" t="s">
        <v>1217</v>
      </c>
      <c r="I107" s="148" t="s">
        <v>1605</v>
      </c>
      <c r="J107" s="139" t="s">
        <v>1397</v>
      </c>
      <c r="K107" s="22"/>
    </row>
    <row r="108" spans="2:11">
      <c r="B108" s="60" t="s">
        <v>286</v>
      </c>
      <c r="C108" s="63" t="s">
        <v>33</v>
      </c>
      <c r="D108" s="63" t="s">
        <v>415</v>
      </c>
      <c r="E108" s="112" t="s">
        <v>672</v>
      </c>
      <c r="F108" s="119" t="s">
        <v>856</v>
      </c>
      <c r="G108" s="128" t="s">
        <v>1040</v>
      </c>
      <c r="H108" s="135" t="s">
        <v>1218</v>
      </c>
      <c r="I108" s="148" t="s">
        <v>1606</v>
      </c>
      <c r="J108" s="139" t="s">
        <v>1398</v>
      </c>
      <c r="K108" s="22"/>
    </row>
    <row r="109" spans="2:11">
      <c r="B109" s="60" t="s">
        <v>287</v>
      </c>
      <c r="C109" s="63" t="s">
        <v>34</v>
      </c>
      <c r="D109" s="63" t="s">
        <v>416</v>
      </c>
      <c r="E109" s="112" t="s">
        <v>673</v>
      </c>
      <c r="F109" s="119" t="s">
        <v>857</v>
      </c>
      <c r="G109" s="128" t="s">
        <v>1041</v>
      </c>
      <c r="H109" s="135" t="s">
        <v>1219</v>
      </c>
      <c r="I109" s="148" t="s">
        <v>1607</v>
      </c>
      <c r="J109" s="139" t="s">
        <v>1399</v>
      </c>
      <c r="K109" s="22"/>
    </row>
    <row r="110" spans="2:11">
      <c r="B110" s="60" t="s">
        <v>345</v>
      </c>
      <c r="C110" s="63" t="s">
        <v>22</v>
      </c>
      <c r="D110" s="63" t="s">
        <v>409</v>
      </c>
      <c r="E110" s="112" t="s">
        <v>674</v>
      </c>
      <c r="F110" s="119" t="s">
        <v>850</v>
      </c>
      <c r="G110" s="128" t="s">
        <v>1033</v>
      </c>
      <c r="H110" s="135" t="s">
        <v>1213</v>
      </c>
      <c r="I110" s="148" t="s">
        <v>1602</v>
      </c>
      <c r="J110" s="139" t="s">
        <v>1393</v>
      </c>
      <c r="K110" s="22"/>
    </row>
    <row r="111" spans="2:11">
      <c r="B111" s="60" t="s">
        <v>288</v>
      </c>
      <c r="C111" s="63" t="s">
        <v>149</v>
      </c>
      <c r="D111" s="63" t="s">
        <v>417</v>
      </c>
      <c r="E111" s="112" t="s">
        <v>675</v>
      </c>
      <c r="F111" s="119" t="s">
        <v>858</v>
      </c>
      <c r="G111" s="128" t="s">
        <v>1042</v>
      </c>
      <c r="H111" s="135" t="s">
        <v>1220</v>
      </c>
      <c r="I111" s="148" t="s">
        <v>1608</v>
      </c>
      <c r="J111" s="139" t="s">
        <v>1400</v>
      </c>
      <c r="K111" s="22"/>
    </row>
    <row r="112" spans="2:11">
      <c r="B112" s="60" t="s">
        <v>292</v>
      </c>
      <c r="C112" s="63" t="s">
        <v>35</v>
      </c>
      <c r="D112" s="63" t="s">
        <v>418</v>
      </c>
      <c r="E112" s="112" t="s">
        <v>676</v>
      </c>
      <c r="F112" s="119" t="s">
        <v>859</v>
      </c>
      <c r="G112" s="128" t="s">
        <v>1043</v>
      </c>
      <c r="H112" s="135" t="s">
        <v>1221</v>
      </c>
      <c r="I112" s="148" t="s">
        <v>1609</v>
      </c>
      <c r="J112" s="139" t="s">
        <v>1401</v>
      </c>
      <c r="K112" s="22"/>
    </row>
    <row r="113" spans="2:11">
      <c r="B113" s="60" t="s">
        <v>293</v>
      </c>
      <c r="C113" s="63" t="s">
        <v>36</v>
      </c>
      <c r="D113" s="63" t="s">
        <v>419</v>
      </c>
      <c r="E113" s="112" t="s">
        <v>677</v>
      </c>
      <c r="F113" s="119" t="s">
        <v>860</v>
      </c>
      <c r="G113" s="128" t="s">
        <v>1044</v>
      </c>
      <c r="H113" s="135" t="s">
        <v>1222</v>
      </c>
      <c r="I113" s="148" t="s">
        <v>1610</v>
      </c>
      <c r="J113" s="139" t="s">
        <v>1402</v>
      </c>
      <c r="K113" s="22"/>
    </row>
    <row r="114" spans="2:11">
      <c r="B114" s="60" t="s">
        <v>294</v>
      </c>
      <c r="C114" s="63" t="s">
        <v>38</v>
      </c>
      <c r="D114" s="63" t="s">
        <v>420</v>
      </c>
      <c r="E114" s="112" t="s">
        <v>678</v>
      </c>
      <c r="F114" s="119" t="s">
        <v>861</v>
      </c>
      <c r="G114" s="128" t="s">
        <v>1045</v>
      </c>
      <c r="H114" s="135" t="s">
        <v>1223</v>
      </c>
      <c r="I114" s="148" t="s">
        <v>1611</v>
      </c>
      <c r="J114" s="139" t="s">
        <v>1403</v>
      </c>
      <c r="K114" s="22"/>
    </row>
    <row r="115" spans="2:11">
      <c r="B115" s="60" t="s">
        <v>289</v>
      </c>
      <c r="C115" s="63" t="s">
        <v>1491</v>
      </c>
      <c r="D115" s="63" t="s">
        <v>1502</v>
      </c>
      <c r="E115" s="112" t="s">
        <v>1503</v>
      </c>
      <c r="F115" s="119" t="s">
        <v>1504</v>
      </c>
      <c r="G115" s="128" t="s">
        <v>1505</v>
      </c>
      <c r="H115" s="135" t="s">
        <v>1506</v>
      </c>
      <c r="I115" s="148" t="s">
        <v>1612</v>
      </c>
      <c r="J115" s="139" t="s">
        <v>1507</v>
      </c>
      <c r="K115" s="22"/>
    </row>
    <row r="116" spans="2:11" ht="30">
      <c r="B116" s="60" t="s">
        <v>290</v>
      </c>
      <c r="C116" s="63" t="s">
        <v>37</v>
      </c>
      <c r="D116" s="63" t="s">
        <v>421</v>
      </c>
      <c r="E116" s="112" t="s">
        <v>679</v>
      </c>
      <c r="F116" s="119" t="s">
        <v>862</v>
      </c>
      <c r="G116" s="128" t="s">
        <v>1046</v>
      </c>
      <c r="H116" s="135" t="s">
        <v>1224</v>
      </c>
      <c r="I116" s="148" t="s">
        <v>1613</v>
      </c>
      <c r="J116" s="144" t="s">
        <v>1404</v>
      </c>
      <c r="K116" s="22"/>
    </row>
    <row r="117" spans="2:11">
      <c r="B117" s="60" t="s">
        <v>291</v>
      </c>
      <c r="C117" s="63" t="s">
        <v>39</v>
      </c>
      <c r="D117" s="63" t="s">
        <v>422</v>
      </c>
      <c r="E117" s="112" t="s">
        <v>680</v>
      </c>
      <c r="F117" s="119" t="s">
        <v>863</v>
      </c>
      <c r="G117" s="128" t="s">
        <v>1047</v>
      </c>
      <c r="H117" s="135" t="s">
        <v>1225</v>
      </c>
      <c r="I117" s="148" t="s">
        <v>1614</v>
      </c>
      <c r="J117" s="139" t="s">
        <v>1405</v>
      </c>
      <c r="K117" s="22"/>
    </row>
    <row r="118" spans="2:11">
      <c r="B118" s="60" t="s">
        <v>295</v>
      </c>
      <c r="C118" s="63" t="s">
        <v>147</v>
      </c>
      <c r="D118" s="63" t="s">
        <v>431</v>
      </c>
      <c r="E118" s="112" t="s">
        <v>681</v>
      </c>
      <c r="F118" s="119" t="s">
        <v>864</v>
      </c>
      <c r="G118" s="128" t="s">
        <v>1048</v>
      </c>
      <c r="H118" s="135" t="s">
        <v>1226</v>
      </c>
      <c r="I118" s="148" t="s">
        <v>1615</v>
      </c>
      <c r="J118" s="139" t="s">
        <v>1406</v>
      </c>
      <c r="K118" s="22"/>
    </row>
    <row r="119" spans="2:11">
      <c r="B119" s="65" t="s">
        <v>296</v>
      </c>
      <c r="C119" s="2" t="s">
        <v>40</v>
      </c>
      <c r="D119" s="63" t="s">
        <v>423</v>
      </c>
      <c r="E119" s="113" t="s">
        <v>682</v>
      </c>
      <c r="F119" s="120" t="s">
        <v>865</v>
      </c>
      <c r="G119" s="129" t="s">
        <v>1049</v>
      </c>
      <c r="H119" s="136" t="s">
        <v>1227</v>
      </c>
      <c r="I119" s="136" t="s">
        <v>1616</v>
      </c>
      <c r="J119" s="138" t="s">
        <v>1407</v>
      </c>
      <c r="K119" s="22"/>
    </row>
    <row r="120" spans="2:11">
      <c r="B120" s="65" t="s">
        <v>297</v>
      </c>
      <c r="C120" s="2" t="s">
        <v>41</v>
      </c>
      <c r="D120" s="63" t="s">
        <v>424</v>
      </c>
      <c r="E120" s="113" t="s">
        <v>683</v>
      </c>
      <c r="F120" s="120" t="s">
        <v>866</v>
      </c>
      <c r="G120" s="129" t="s">
        <v>1050</v>
      </c>
      <c r="H120" s="136" t="s">
        <v>1228</v>
      </c>
      <c r="I120" s="136" t="s">
        <v>1617</v>
      </c>
      <c r="J120" s="138" t="s">
        <v>1408</v>
      </c>
      <c r="K120" s="22"/>
    </row>
    <row r="121" spans="2:11">
      <c r="B121" s="65" t="s">
        <v>298</v>
      </c>
      <c r="C121" s="2" t="s">
        <v>42</v>
      </c>
      <c r="D121" s="63" t="s">
        <v>425</v>
      </c>
      <c r="E121" s="113" t="s">
        <v>684</v>
      </c>
      <c r="F121" s="120" t="s">
        <v>867</v>
      </c>
      <c r="G121" s="129" t="s">
        <v>1051</v>
      </c>
      <c r="H121" s="136" t="s">
        <v>1229</v>
      </c>
      <c r="I121" s="136" t="s">
        <v>1618</v>
      </c>
      <c r="J121" s="138" t="s">
        <v>1409</v>
      </c>
      <c r="K121" s="22"/>
    </row>
    <row r="122" spans="2:11">
      <c r="B122" s="65" t="s">
        <v>299</v>
      </c>
      <c r="C122" s="2" t="s">
        <v>44</v>
      </c>
      <c r="D122" s="63" t="s">
        <v>426</v>
      </c>
      <c r="E122" s="113" t="s">
        <v>685</v>
      </c>
      <c r="F122" s="120" t="s">
        <v>868</v>
      </c>
      <c r="G122" s="129" t="s">
        <v>1052</v>
      </c>
      <c r="H122" s="136" t="s">
        <v>1230</v>
      </c>
      <c r="I122" s="136" t="s">
        <v>1619</v>
      </c>
      <c r="J122" s="138" t="s">
        <v>1410</v>
      </c>
      <c r="K122" s="22"/>
    </row>
    <row r="123" spans="2:11">
      <c r="B123" s="65" t="s">
        <v>300</v>
      </c>
      <c r="C123" s="2" t="s">
        <v>46</v>
      </c>
      <c r="D123" s="63" t="s">
        <v>427</v>
      </c>
      <c r="E123" s="113" t="s">
        <v>686</v>
      </c>
      <c r="F123" s="120" t="s">
        <v>869</v>
      </c>
      <c r="G123" s="129" t="s">
        <v>1053</v>
      </c>
      <c r="H123" s="136" t="s">
        <v>1231</v>
      </c>
      <c r="I123" s="136" t="s">
        <v>1620</v>
      </c>
      <c r="J123" s="138" t="s">
        <v>1411</v>
      </c>
      <c r="K123" s="22"/>
    </row>
    <row r="124" spans="2:11">
      <c r="B124" s="65" t="s">
        <v>301</v>
      </c>
      <c r="C124" s="2" t="s">
        <v>48</v>
      </c>
      <c r="D124" s="63" t="s">
        <v>428</v>
      </c>
      <c r="E124" s="113" t="s">
        <v>687</v>
      </c>
      <c r="F124" s="120" t="s">
        <v>870</v>
      </c>
      <c r="G124" s="129" t="s">
        <v>1054</v>
      </c>
      <c r="H124" s="136" t="s">
        <v>1232</v>
      </c>
      <c r="I124" s="136" t="s">
        <v>1621</v>
      </c>
      <c r="J124" s="138" t="s">
        <v>1412</v>
      </c>
      <c r="K124" s="22"/>
    </row>
    <row r="125" spans="2:11">
      <c r="B125" s="65" t="s">
        <v>302</v>
      </c>
      <c r="C125" s="2" t="s">
        <v>49</v>
      </c>
      <c r="D125" s="63" t="s">
        <v>429</v>
      </c>
      <c r="E125" s="113" t="s">
        <v>688</v>
      </c>
      <c r="F125" s="120" t="s">
        <v>871</v>
      </c>
      <c r="G125" s="129" t="s">
        <v>1055</v>
      </c>
      <c r="H125" s="136" t="s">
        <v>1233</v>
      </c>
      <c r="I125" s="136" t="s">
        <v>1622</v>
      </c>
      <c r="J125" s="138" t="s">
        <v>1413</v>
      </c>
      <c r="K125" s="22"/>
    </row>
    <row r="126" spans="2:11">
      <c r="B126" s="65" t="s">
        <v>303</v>
      </c>
      <c r="C126" s="2" t="s">
        <v>51</v>
      </c>
      <c r="D126" s="63" t="s">
        <v>430</v>
      </c>
      <c r="E126" s="113" t="s">
        <v>689</v>
      </c>
      <c r="F126" s="120" t="s">
        <v>872</v>
      </c>
      <c r="G126" s="129" t="s">
        <v>1056</v>
      </c>
      <c r="H126" s="136" t="s">
        <v>1234</v>
      </c>
      <c r="I126" s="136" t="s">
        <v>1623</v>
      </c>
      <c r="J126" s="138" t="s">
        <v>1414</v>
      </c>
      <c r="K126" s="22"/>
    </row>
    <row r="127" spans="2:11">
      <c r="B127" s="60" t="s">
        <v>304</v>
      </c>
      <c r="C127" s="2" t="s">
        <v>175</v>
      </c>
      <c r="D127" s="63" t="s">
        <v>432</v>
      </c>
      <c r="E127" s="113" t="s">
        <v>690</v>
      </c>
      <c r="F127" s="120" t="s">
        <v>873</v>
      </c>
      <c r="G127" s="129" t="s">
        <v>1057</v>
      </c>
      <c r="H127" s="136" t="s">
        <v>1235</v>
      </c>
      <c r="I127" s="136" t="s">
        <v>1624</v>
      </c>
      <c r="J127" s="138" t="s">
        <v>1415</v>
      </c>
      <c r="K127" s="22"/>
    </row>
    <row r="128" spans="2:11">
      <c r="B128" s="60" t="s">
        <v>305</v>
      </c>
      <c r="C128" s="2" t="s">
        <v>168</v>
      </c>
      <c r="D128" s="63" t="s">
        <v>433</v>
      </c>
      <c r="E128" s="113" t="s">
        <v>691</v>
      </c>
      <c r="F128" s="120" t="s">
        <v>874</v>
      </c>
      <c r="G128" s="129" t="s">
        <v>1058</v>
      </c>
      <c r="H128" s="136" t="s">
        <v>1236</v>
      </c>
      <c r="I128" s="136" t="s">
        <v>1625</v>
      </c>
      <c r="J128" s="138" t="s">
        <v>1416</v>
      </c>
      <c r="K128" s="22"/>
    </row>
    <row r="129" spans="2:11">
      <c r="B129" s="60" t="s">
        <v>306</v>
      </c>
      <c r="C129" s="2" t="s">
        <v>43</v>
      </c>
      <c r="D129" s="63" t="s">
        <v>434</v>
      </c>
      <c r="E129" s="113" t="s">
        <v>692</v>
      </c>
      <c r="F129" s="120" t="s">
        <v>875</v>
      </c>
      <c r="G129" s="129" t="s">
        <v>1059</v>
      </c>
      <c r="H129" s="136" t="s">
        <v>1237</v>
      </c>
      <c r="I129" s="136" t="s">
        <v>1626</v>
      </c>
      <c r="J129" s="138" t="s">
        <v>1417</v>
      </c>
      <c r="K129" s="22"/>
    </row>
    <row r="130" spans="2:11">
      <c r="B130" s="60" t="s">
        <v>307</v>
      </c>
      <c r="C130" s="2" t="s">
        <v>45</v>
      </c>
      <c r="D130" s="63" t="s">
        <v>435</v>
      </c>
      <c r="E130" s="113" t="s">
        <v>693</v>
      </c>
      <c r="F130" s="120" t="s">
        <v>876</v>
      </c>
      <c r="G130" s="129" t="s">
        <v>1060</v>
      </c>
      <c r="H130" s="136" t="s">
        <v>1238</v>
      </c>
      <c r="I130" s="136" t="s">
        <v>1627</v>
      </c>
      <c r="J130" s="138" t="s">
        <v>1418</v>
      </c>
      <c r="K130" s="22"/>
    </row>
    <row r="131" spans="2:11">
      <c r="B131" s="60" t="s">
        <v>308</v>
      </c>
      <c r="C131" s="2" t="s">
        <v>47</v>
      </c>
      <c r="D131" s="63" t="s">
        <v>436</v>
      </c>
      <c r="E131" s="113" t="s">
        <v>694</v>
      </c>
      <c r="F131" s="120" t="s">
        <v>877</v>
      </c>
      <c r="G131" s="129" t="s">
        <v>1061</v>
      </c>
      <c r="H131" s="136" t="s">
        <v>1239</v>
      </c>
      <c r="I131" s="136" t="s">
        <v>1628</v>
      </c>
      <c r="J131" s="138" t="s">
        <v>1419</v>
      </c>
      <c r="K131" s="22"/>
    </row>
    <row r="132" spans="2:11">
      <c r="B132" s="60" t="s">
        <v>309</v>
      </c>
      <c r="C132" s="2" t="s">
        <v>190</v>
      </c>
      <c r="D132" s="63" t="s">
        <v>437</v>
      </c>
      <c r="E132" s="113" t="s">
        <v>695</v>
      </c>
      <c r="F132" s="120" t="s">
        <v>878</v>
      </c>
      <c r="G132" s="129" t="s">
        <v>1062</v>
      </c>
      <c r="H132" s="136" t="s">
        <v>1240</v>
      </c>
      <c r="I132" s="136" t="s">
        <v>1629</v>
      </c>
      <c r="J132" s="138" t="s">
        <v>1420</v>
      </c>
      <c r="K132" s="22"/>
    </row>
    <row r="133" spans="2:11">
      <c r="B133" s="60" t="s">
        <v>310</v>
      </c>
      <c r="C133" s="2" t="s">
        <v>50</v>
      </c>
      <c r="D133" s="63" t="s">
        <v>438</v>
      </c>
      <c r="E133" s="113" t="s">
        <v>696</v>
      </c>
      <c r="F133" s="120" t="s">
        <v>879</v>
      </c>
      <c r="G133" s="129" t="s">
        <v>1063</v>
      </c>
      <c r="H133" s="136" t="s">
        <v>1241</v>
      </c>
      <c r="I133" s="136" t="s">
        <v>1630</v>
      </c>
      <c r="J133" s="144" t="s">
        <v>1421</v>
      </c>
      <c r="K133" s="22"/>
    </row>
    <row r="134" spans="2:11">
      <c r="B134" s="60" t="s">
        <v>311</v>
      </c>
      <c r="C134" s="2" t="s">
        <v>52</v>
      </c>
      <c r="D134" s="63" t="s">
        <v>439</v>
      </c>
      <c r="E134" s="113" t="s">
        <v>697</v>
      </c>
      <c r="F134" s="120" t="s">
        <v>880</v>
      </c>
      <c r="G134" s="129" t="s">
        <v>1064</v>
      </c>
      <c r="H134" s="136" t="s">
        <v>1242</v>
      </c>
      <c r="I134" s="136" t="s">
        <v>1631</v>
      </c>
      <c r="J134" s="138" t="s">
        <v>1422</v>
      </c>
      <c r="K134" s="22"/>
    </row>
    <row r="135" spans="2:11">
      <c r="B135" s="65" t="s">
        <v>312</v>
      </c>
      <c r="C135" s="2" t="s">
        <v>151</v>
      </c>
      <c r="D135" s="63" t="s">
        <v>440</v>
      </c>
      <c r="E135" s="113" t="s">
        <v>698</v>
      </c>
      <c r="F135" s="120" t="s">
        <v>881</v>
      </c>
      <c r="G135" s="129" t="s">
        <v>1065</v>
      </c>
      <c r="H135" s="136" t="s">
        <v>1243</v>
      </c>
      <c r="I135" s="136" t="s">
        <v>1632</v>
      </c>
      <c r="J135" s="138" t="s">
        <v>1423</v>
      </c>
      <c r="K135" s="22"/>
    </row>
    <row r="136" spans="2:11">
      <c r="B136" s="65" t="s">
        <v>313</v>
      </c>
      <c r="C136" s="2" t="s">
        <v>53</v>
      </c>
      <c r="D136" s="63" t="s">
        <v>441</v>
      </c>
      <c r="E136" s="113" t="s">
        <v>699</v>
      </c>
      <c r="F136" s="120" t="s">
        <v>882</v>
      </c>
      <c r="G136" s="129" t="s">
        <v>1066</v>
      </c>
      <c r="H136" s="136" t="s">
        <v>1244</v>
      </c>
      <c r="I136" s="136" t="s">
        <v>1633</v>
      </c>
      <c r="J136" s="138" t="s">
        <v>1424</v>
      </c>
      <c r="K136" s="22"/>
    </row>
    <row r="137" spans="2:11">
      <c r="B137" s="65" t="s">
        <v>314</v>
      </c>
      <c r="C137" s="2" t="s">
        <v>55</v>
      </c>
      <c r="D137" s="63" t="s">
        <v>442</v>
      </c>
      <c r="E137" s="113" t="s">
        <v>700</v>
      </c>
      <c r="F137" s="120" t="s">
        <v>883</v>
      </c>
      <c r="G137" s="129" t="s">
        <v>1067</v>
      </c>
      <c r="H137" s="136" t="s">
        <v>1245</v>
      </c>
      <c r="I137" s="136" t="s">
        <v>1634</v>
      </c>
      <c r="J137" s="138" t="s">
        <v>1425</v>
      </c>
      <c r="K137" s="22"/>
    </row>
    <row r="138" spans="2:11">
      <c r="B138" s="65" t="s">
        <v>315</v>
      </c>
      <c r="C138" s="2" t="s">
        <v>57</v>
      </c>
      <c r="D138" s="63" t="s">
        <v>443</v>
      </c>
      <c r="E138" s="113" t="s">
        <v>701</v>
      </c>
      <c r="F138" s="120" t="s">
        <v>884</v>
      </c>
      <c r="G138" s="129" t="s">
        <v>1068</v>
      </c>
      <c r="H138" s="136" t="s">
        <v>1246</v>
      </c>
      <c r="I138" s="136" t="s">
        <v>1635</v>
      </c>
      <c r="J138" s="138" t="s">
        <v>1426</v>
      </c>
      <c r="K138" s="22"/>
    </row>
    <row r="139" spans="2:11">
      <c r="B139" s="65" t="s">
        <v>316</v>
      </c>
      <c r="C139" s="2" t="s">
        <v>58</v>
      </c>
      <c r="D139" s="63" t="s">
        <v>444</v>
      </c>
      <c r="E139" s="113" t="s">
        <v>702</v>
      </c>
      <c r="F139" s="120" t="s">
        <v>885</v>
      </c>
      <c r="G139" s="129" t="s">
        <v>1069</v>
      </c>
      <c r="H139" s="136" t="s">
        <v>1247</v>
      </c>
      <c r="I139" s="136" t="s">
        <v>1636</v>
      </c>
      <c r="J139" s="138" t="s">
        <v>1427</v>
      </c>
      <c r="K139" s="22"/>
    </row>
    <row r="140" spans="2:11">
      <c r="B140" s="65" t="s">
        <v>317</v>
      </c>
      <c r="C140" s="2" t="s">
        <v>59</v>
      </c>
      <c r="D140" s="63" t="s">
        <v>445</v>
      </c>
      <c r="E140" s="113" t="s">
        <v>703</v>
      </c>
      <c r="F140" s="120" t="s">
        <v>886</v>
      </c>
      <c r="G140" s="129" t="s">
        <v>1070</v>
      </c>
      <c r="H140" s="136" t="s">
        <v>1248</v>
      </c>
      <c r="I140" s="136" t="s">
        <v>1637</v>
      </c>
      <c r="J140" s="138" t="s">
        <v>1428</v>
      </c>
      <c r="K140" s="22"/>
    </row>
    <row r="141" spans="2:11">
      <c r="B141" s="65" t="s">
        <v>318</v>
      </c>
      <c r="C141" s="2" t="s">
        <v>60</v>
      </c>
      <c r="D141" s="63" t="s">
        <v>446</v>
      </c>
      <c r="E141" s="113" t="s">
        <v>704</v>
      </c>
      <c r="F141" s="120" t="s">
        <v>887</v>
      </c>
      <c r="G141" s="129" t="s">
        <v>1071</v>
      </c>
      <c r="H141" s="136" t="s">
        <v>1249</v>
      </c>
      <c r="I141" s="136" t="s">
        <v>1638</v>
      </c>
      <c r="J141" s="138" t="s">
        <v>1429</v>
      </c>
      <c r="K141" s="22"/>
    </row>
    <row r="142" spans="2:11">
      <c r="B142" s="60" t="s">
        <v>319</v>
      </c>
      <c r="C142" s="2" t="s">
        <v>54</v>
      </c>
      <c r="D142" s="63" t="s">
        <v>447</v>
      </c>
      <c r="E142" s="113" t="s">
        <v>705</v>
      </c>
      <c r="F142" s="120" t="s">
        <v>888</v>
      </c>
      <c r="G142" s="129" t="s">
        <v>1072</v>
      </c>
      <c r="H142" s="136" t="s">
        <v>1250</v>
      </c>
      <c r="I142" s="136" t="s">
        <v>1639</v>
      </c>
      <c r="J142" s="138" t="s">
        <v>1430</v>
      </c>
      <c r="K142" s="22"/>
    </row>
    <row r="143" spans="2:11" ht="30">
      <c r="B143" s="60" t="s">
        <v>320</v>
      </c>
      <c r="C143" s="2" t="s">
        <v>56</v>
      </c>
      <c r="D143" s="63" t="s">
        <v>448</v>
      </c>
      <c r="E143" s="113" t="s">
        <v>706</v>
      </c>
      <c r="F143" s="124" t="s">
        <v>889</v>
      </c>
      <c r="G143" s="129" t="s">
        <v>1073</v>
      </c>
      <c r="H143" s="136" t="s">
        <v>1251</v>
      </c>
      <c r="I143" s="136" t="s">
        <v>1640</v>
      </c>
      <c r="J143" s="138" t="s">
        <v>1431</v>
      </c>
      <c r="K143" s="22"/>
    </row>
    <row r="144" spans="2:11" ht="30">
      <c r="B144" s="60" t="s">
        <v>321</v>
      </c>
      <c r="C144" s="63" t="s">
        <v>153</v>
      </c>
      <c r="D144" s="63" t="s">
        <v>538</v>
      </c>
      <c r="E144" s="112" t="s">
        <v>707</v>
      </c>
      <c r="F144" s="123" t="s">
        <v>890</v>
      </c>
      <c r="G144" s="133" t="s">
        <v>1074</v>
      </c>
      <c r="H144" s="137" t="s">
        <v>1252</v>
      </c>
      <c r="I144" s="148" t="s">
        <v>1641</v>
      </c>
      <c r="J144" s="139" t="s">
        <v>1432</v>
      </c>
      <c r="K144" s="22"/>
    </row>
    <row r="145" spans="2:11">
      <c r="B145" s="60" t="s">
        <v>322</v>
      </c>
      <c r="C145" s="2" t="s">
        <v>154</v>
      </c>
      <c r="D145" s="63" t="s">
        <v>449</v>
      </c>
      <c r="E145" s="113" t="s">
        <v>708</v>
      </c>
      <c r="F145" s="120" t="s">
        <v>891</v>
      </c>
      <c r="G145" s="129" t="s">
        <v>1075</v>
      </c>
      <c r="H145" s="136" t="s">
        <v>1253</v>
      </c>
      <c r="I145" s="136" t="s">
        <v>1642</v>
      </c>
      <c r="J145" s="138" t="s">
        <v>1433</v>
      </c>
      <c r="K145" s="22"/>
    </row>
    <row r="146" spans="2:11" ht="30">
      <c r="B146" s="60" t="s">
        <v>323</v>
      </c>
      <c r="C146" s="2" t="s">
        <v>155</v>
      </c>
      <c r="D146" s="63" t="s">
        <v>450</v>
      </c>
      <c r="E146" s="112" t="s">
        <v>709</v>
      </c>
      <c r="F146" s="123" t="s">
        <v>892</v>
      </c>
      <c r="G146" s="133" t="s">
        <v>1076</v>
      </c>
      <c r="H146" s="137" t="s">
        <v>1254</v>
      </c>
      <c r="I146" s="136" t="s">
        <v>1643</v>
      </c>
      <c r="J146" s="138" t="s">
        <v>1434</v>
      </c>
      <c r="K146" s="22"/>
    </row>
    <row r="147" spans="2:11">
      <c r="B147" s="65" t="s">
        <v>324</v>
      </c>
      <c r="C147" s="2" t="s">
        <v>148</v>
      </c>
      <c r="D147" s="63" t="s">
        <v>451</v>
      </c>
      <c r="E147" s="113" t="s">
        <v>710</v>
      </c>
      <c r="F147" s="120" t="s">
        <v>893</v>
      </c>
      <c r="G147" s="129" t="s">
        <v>1077</v>
      </c>
      <c r="H147" s="136" t="s">
        <v>1255</v>
      </c>
      <c r="I147" s="136" t="s">
        <v>1644</v>
      </c>
      <c r="J147" s="138" t="s">
        <v>1435</v>
      </c>
      <c r="K147" s="22"/>
    </row>
    <row r="148" spans="2:11">
      <c r="B148" s="65" t="s">
        <v>325</v>
      </c>
      <c r="C148" s="2" t="s">
        <v>61</v>
      </c>
      <c r="D148" s="63" t="s">
        <v>452</v>
      </c>
      <c r="E148" s="113" t="s">
        <v>711</v>
      </c>
      <c r="F148" s="120" t="s">
        <v>894</v>
      </c>
      <c r="G148" s="129" t="s">
        <v>1078</v>
      </c>
      <c r="H148" s="136" t="s">
        <v>1256</v>
      </c>
      <c r="I148" s="136" t="s">
        <v>1645</v>
      </c>
      <c r="J148" s="138" t="s">
        <v>1436</v>
      </c>
      <c r="K148" s="22"/>
    </row>
    <row r="149" spans="2:11">
      <c r="B149" s="65" t="s">
        <v>326</v>
      </c>
      <c r="C149" s="2" t="s">
        <v>62</v>
      </c>
      <c r="D149" s="63" t="s">
        <v>453</v>
      </c>
      <c r="E149" s="113" t="s">
        <v>712</v>
      </c>
      <c r="F149" s="120" t="s">
        <v>895</v>
      </c>
      <c r="G149" s="129" t="s">
        <v>1079</v>
      </c>
      <c r="H149" s="136" t="s">
        <v>1257</v>
      </c>
      <c r="I149" s="136" t="s">
        <v>1646</v>
      </c>
      <c r="J149" s="138" t="s">
        <v>1437</v>
      </c>
      <c r="K149" s="22"/>
    </row>
    <row r="150" spans="2:11">
      <c r="B150" s="65" t="s">
        <v>327</v>
      </c>
      <c r="C150" s="2" t="s">
        <v>63</v>
      </c>
      <c r="D150" s="63" t="s">
        <v>454</v>
      </c>
      <c r="E150" s="113" t="s">
        <v>713</v>
      </c>
      <c r="F150" s="120" t="s">
        <v>896</v>
      </c>
      <c r="G150" s="129" t="s">
        <v>1080</v>
      </c>
      <c r="H150" s="136" t="s">
        <v>1258</v>
      </c>
      <c r="I150" s="136" t="s">
        <v>1647</v>
      </c>
      <c r="J150" s="138" t="s">
        <v>1438</v>
      </c>
      <c r="K150" s="22"/>
    </row>
    <row r="151" spans="2:11">
      <c r="B151" s="65" t="s">
        <v>328</v>
      </c>
      <c r="C151" s="2" t="s">
        <v>64</v>
      </c>
      <c r="D151" s="63" t="s">
        <v>455</v>
      </c>
      <c r="E151" s="113" t="s">
        <v>714</v>
      </c>
      <c r="F151" s="120" t="s">
        <v>897</v>
      </c>
      <c r="G151" s="129" t="s">
        <v>1081</v>
      </c>
      <c r="H151" s="136" t="s">
        <v>1259</v>
      </c>
      <c r="I151" s="136" t="s">
        <v>1648</v>
      </c>
      <c r="J151" s="138" t="s">
        <v>1439</v>
      </c>
      <c r="K151" s="22"/>
    </row>
    <row r="152" spans="2:11">
      <c r="B152" s="65" t="s">
        <v>329</v>
      </c>
      <c r="C152" s="2" t="s">
        <v>66</v>
      </c>
      <c r="D152" s="63" t="s">
        <v>456</v>
      </c>
      <c r="E152" s="113" t="s">
        <v>715</v>
      </c>
      <c r="F152" s="120" t="s">
        <v>898</v>
      </c>
      <c r="G152" s="129" t="s">
        <v>1082</v>
      </c>
      <c r="H152" s="136" t="s">
        <v>1260</v>
      </c>
      <c r="I152" s="136" t="s">
        <v>1649</v>
      </c>
      <c r="J152" s="138" t="s">
        <v>1440</v>
      </c>
      <c r="K152" s="22"/>
    </row>
    <row r="153" spans="2:11">
      <c r="B153" s="65" t="s">
        <v>330</v>
      </c>
      <c r="C153" s="2" t="s">
        <v>68</v>
      </c>
      <c r="D153" s="63" t="s">
        <v>457</v>
      </c>
      <c r="E153" s="113" t="s">
        <v>716</v>
      </c>
      <c r="F153" s="120" t="s">
        <v>899</v>
      </c>
      <c r="G153" s="129" t="s">
        <v>1083</v>
      </c>
      <c r="H153" s="136" t="s">
        <v>1261</v>
      </c>
      <c r="I153" s="136" t="s">
        <v>1650</v>
      </c>
      <c r="J153" s="138" t="s">
        <v>1441</v>
      </c>
      <c r="K153" s="22"/>
    </row>
    <row r="154" spans="2:11">
      <c r="B154" s="65" t="s">
        <v>331</v>
      </c>
      <c r="C154" s="2" t="s">
        <v>70</v>
      </c>
      <c r="D154" s="63" t="s">
        <v>458</v>
      </c>
      <c r="E154" s="113" t="s">
        <v>717</v>
      </c>
      <c r="F154" s="120" t="s">
        <v>900</v>
      </c>
      <c r="G154" s="129" t="s">
        <v>1084</v>
      </c>
      <c r="H154" s="136" t="s">
        <v>1262</v>
      </c>
      <c r="I154" s="136" t="s">
        <v>1651</v>
      </c>
      <c r="J154" s="138" t="s">
        <v>1442</v>
      </c>
      <c r="K154" s="22"/>
    </row>
    <row r="155" spans="2:11">
      <c r="B155" s="65" t="s">
        <v>332</v>
      </c>
      <c r="C155" s="2" t="s">
        <v>71</v>
      </c>
      <c r="D155" s="63" t="s">
        <v>459</v>
      </c>
      <c r="E155" s="113" t="s">
        <v>718</v>
      </c>
      <c r="F155" s="120" t="s">
        <v>901</v>
      </c>
      <c r="G155" s="129" t="s">
        <v>1085</v>
      </c>
      <c r="H155" s="136" t="s">
        <v>1263</v>
      </c>
      <c r="I155" s="136" t="s">
        <v>1652</v>
      </c>
      <c r="J155" s="138" t="s">
        <v>1443</v>
      </c>
      <c r="K155" s="22"/>
    </row>
    <row r="156" spans="2:11">
      <c r="B156" s="65" t="s">
        <v>333</v>
      </c>
      <c r="C156" s="2" t="s">
        <v>72</v>
      </c>
      <c r="D156" s="63" t="s">
        <v>460</v>
      </c>
      <c r="E156" s="113" t="s">
        <v>719</v>
      </c>
      <c r="F156" s="120" t="s">
        <v>902</v>
      </c>
      <c r="G156" s="129" t="s">
        <v>1086</v>
      </c>
      <c r="H156" s="136" t="s">
        <v>1264</v>
      </c>
      <c r="I156" s="136" t="s">
        <v>1653</v>
      </c>
      <c r="J156" s="138" t="s">
        <v>1444</v>
      </c>
      <c r="K156" s="22"/>
    </row>
    <row r="157" spans="2:11">
      <c r="B157" s="65" t="s">
        <v>334</v>
      </c>
      <c r="C157" s="2" t="s">
        <v>73</v>
      </c>
      <c r="D157" s="63" t="s">
        <v>461</v>
      </c>
      <c r="E157" s="113" t="s">
        <v>720</v>
      </c>
      <c r="F157" s="120" t="s">
        <v>903</v>
      </c>
      <c r="G157" s="129" t="s">
        <v>1087</v>
      </c>
      <c r="H157" s="136" t="s">
        <v>1265</v>
      </c>
      <c r="I157" s="136" t="s">
        <v>1654</v>
      </c>
      <c r="J157" s="138" t="s">
        <v>1445</v>
      </c>
      <c r="K157" s="22"/>
    </row>
    <row r="158" spans="2:11">
      <c r="B158" s="65" t="s">
        <v>335</v>
      </c>
      <c r="C158" s="2" t="s">
        <v>74</v>
      </c>
      <c r="D158" s="63" t="s">
        <v>462</v>
      </c>
      <c r="E158" s="113" t="s">
        <v>721</v>
      </c>
      <c r="F158" s="120" t="s">
        <v>904</v>
      </c>
      <c r="G158" s="129" t="s">
        <v>1088</v>
      </c>
      <c r="H158" s="136" t="s">
        <v>1266</v>
      </c>
      <c r="I158" s="136" t="s">
        <v>1655</v>
      </c>
      <c r="J158" s="138" t="s">
        <v>1446</v>
      </c>
      <c r="K158" s="22"/>
    </row>
    <row r="159" spans="2:11" ht="30">
      <c r="B159" s="65" t="s">
        <v>336</v>
      </c>
      <c r="C159" s="2" t="s">
        <v>76</v>
      </c>
      <c r="D159" s="63" t="s">
        <v>463</v>
      </c>
      <c r="E159" s="111" t="s">
        <v>722</v>
      </c>
      <c r="F159" s="119" t="s">
        <v>905</v>
      </c>
      <c r="G159" s="128" t="s">
        <v>1089</v>
      </c>
      <c r="H159" s="137" t="s">
        <v>1267</v>
      </c>
      <c r="I159" s="136" t="s">
        <v>1656</v>
      </c>
      <c r="J159" s="138" t="s">
        <v>1447</v>
      </c>
      <c r="K159" s="22"/>
    </row>
    <row r="160" spans="2:11" ht="30">
      <c r="B160" s="60" t="s">
        <v>337</v>
      </c>
      <c r="C160" s="2" t="s">
        <v>156</v>
      </c>
      <c r="D160" s="63" t="s">
        <v>464</v>
      </c>
      <c r="E160" s="111" t="s">
        <v>723</v>
      </c>
      <c r="F160" s="119" t="s">
        <v>906</v>
      </c>
      <c r="G160" s="128" t="s">
        <v>1090</v>
      </c>
      <c r="H160" s="137" t="s">
        <v>1268</v>
      </c>
      <c r="I160" s="138" t="s">
        <v>1657</v>
      </c>
      <c r="J160" s="138" t="s">
        <v>1448</v>
      </c>
      <c r="K160" s="22"/>
    </row>
    <row r="161" spans="2:11" ht="30">
      <c r="B161" s="60" t="s">
        <v>338</v>
      </c>
      <c r="C161" s="2" t="s">
        <v>157</v>
      </c>
      <c r="D161" s="63" t="s">
        <v>465</v>
      </c>
      <c r="E161" s="113" t="s">
        <v>724</v>
      </c>
      <c r="F161" s="118" t="s">
        <v>907</v>
      </c>
      <c r="G161" s="129" t="s">
        <v>1091</v>
      </c>
      <c r="H161" s="136" t="s">
        <v>1269</v>
      </c>
      <c r="I161" s="136" t="s">
        <v>1658</v>
      </c>
      <c r="J161" s="138" t="s">
        <v>1449</v>
      </c>
      <c r="K161" s="22"/>
    </row>
    <row r="162" spans="2:11">
      <c r="B162" s="60" t="s">
        <v>339</v>
      </c>
      <c r="C162" s="2" t="s">
        <v>169</v>
      </c>
      <c r="D162" s="63" t="s">
        <v>466</v>
      </c>
      <c r="E162" s="113" t="s">
        <v>725</v>
      </c>
      <c r="F162" s="120" t="s">
        <v>908</v>
      </c>
      <c r="G162" s="129" t="s">
        <v>1092</v>
      </c>
      <c r="H162" s="136" t="s">
        <v>1270</v>
      </c>
      <c r="I162" s="136" t="s">
        <v>1659</v>
      </c>
      <c r="J162" s="138" t="s">
        <v>1450</v>
      </c>
      <c r="K162" s="22"/>
    </row>
    <row r="163" spans="2:11">
      <c r="B163" s="60" t="s">
        <v>340</v>
      </c>
      <c r="C163" s="2" t="s">
        <v>65</v>
      </c>
      <c r="D163" s="63" t="s">
        <v>467</v>
      </c>
      <c r="E163" s="113" t="s">
        <v>726</v>
      </c>
      <c r="F163" s="120" t="s">
        <v>909</v>
      </c>
      <c r="G163" s="129" t="s">
        <v>1093</v>
      </c>
      <c r="H163" s="136" t="s">
        <v>1271</v>
      </c>
      <c r="I163" s="136" t="s">
        <v>1660</v>
      </c>
      <c r="J163" s="138" t="s">
        <v>1451</v>
      </c>
      <c r="K163" s="22"/>
    </row>
    <row r="164" spans="2:11">
      <c r="B164" s="60" t="s">
        <v>341</v>
      </c>
      <c r="C164" s="2" t="s">
        <v>67</v>
      </c>
      <c r="D164" s="63" t="s">
        <v>468</v>
      </c>
      <c r="E164" s="113" t="s">
        <v>727</v>
      </c>
      <c r="F164" s="120" t="s">
        <v>910</v>
      </c>
      <c r="G164" s="129" t="s">
        <v>1094</v>
      </c>
      <c r="H164" s="136" t="s">
        <v>1272</v>
      </c>
      <c r="I164" s="136" t="s">
        <v>1661</v>
      </c>
      <c r="J164" s="138" t="s">
        <v>1452</v>
      </c>
      <c r="K164" s="22"/>
    </row>
    <row r="165" spans="2:11">
      <c r="B165" s="60" t="s">
        <v>342</v>
      </c>
      <c r="C165" s="2" t="s">
        <v>69</v>
      </c>
      <c r="D165" s="63" t="s">
        <v>469</v>
      </c>
      <c r="E165" s="113" t="s">
        <v>728</v>
      </c>
      <c r="F165" s="120" t="s">
        <v>911</v>
      </c>
      <c r="G165" s="129" t="s">
        <v>1095</v>
      </c>
      <c r="H165" s="136" t="s">
        <v>1273</v>
      </c>
      <c r="I165" s="136" t="s">
        <v>1662</v>
      </c>
      <c r="J165" s="138" t="s">
        <v>1453</v>
      </c>
      <c r="K165" s="22"/>
    </row>
    <row r="166" spans="2:11" ht="30">
      <c r="B166" s="60" t="s">
        <v>343</v>
      </c>
      <c r="C166" s="2" t="s">
        <v>158</v>
      </c>
      <c r="D166" s="63" t="s">
        <v>470</v>
      </c>
      <c r="E166" s="111" t="s">
        <v>729</v>
      </c>
      <c r="F166" s="118" t="s">
        <v>912</v>
      </c>
      <c r="G166" s="130" t="s">
        <v>1096</v>
      </c>
      <c r="H166" s="137" t="s">
        <v>1274</v>
      </c>
      <c r="I166" s="136" t="s">
        <v>1663</v>
      </c>
      <c r="J166" s="138" t="s">
        <v>1454</v>
      </c>
      <c r="K166" s="22"/>
    </row>
    <row r="167" spans="2:11">
      <c r="B167" s="60" t="s">
        <v>344</v>
      </c>
      <c r="C167" s="2" t="s">
        <v>75</v>
      </c>
      <c r="D167" s="63" t="s">
        <v>471</v>
      </c>
      <c r="E167" s="111" t="s">
        <v>730</v>
      </c>
      <c r="F167" s="120" t="s">
        <v>913</v>
      </c>
      <c r="G167" s="129" t="s">
        <v>1097</v>
      </c>
      <c r="H167" s="136" t="s">
        <v>1275</v>
      </c>
      <c r="I167" s="136" t="s">
        <v>1664</v>
      </c>
      <c r="J167" s="138" t="s">
        <v>1455</v>
      </c>
      <c r="K167" s="22"/>
    </row>
    <row r="168" spans="2:11" ht="30">
      <c r="B168" s="20" t="s">
        <v>348</v>
      </c>
      <c r="C168" s="2" t="s">
        <v>562</v>
      </c>
      <c r="D168" s="63" t="s">
        <v>563</v>
      </c>
      <c r="E168" s="112" t="s">
        <v>731</v>
      </c>
      <c r="F168" s="123" t="s">
        <v>914</v>
      </c>
      <c r="G168" s="128" t="s">
        <v>1098</v>
      </c>
      <c r="H168" s="136" t="s">
        <v>1276</v>
      </c>
      <c r="I168" s="136" t="s">
        <v>1665</v>
      </c>
      <c r="J168" s="138" t="s">
        <v>1456</v>
      </c>
      <c r="K168" s="22"/>
    </row>
    <row r="169" spans="2:11" ht="75">
      <c r="B169" s="20" t="s">
        <v>349</v>
      </c>
      <c r="C169" s="63" t="s">
        <v>350</v>
      </c>
      <c r="D169" s="63" t="s">
        <v>493</v>
      </c>
      <c r="E169" s="112" t="s">
        <v>732</v>
      </c>
      <c r="F169" s="119" t="s">
        <v>915</v>
      </c>
      <c r="G169" s="134" t="s">
        <v>1099</v>
      </c>
      <c r="H169" s="137" t="s">
        <v>1277</v>
      </c>
      <c r="I169" s="148" t="s">
        <v>1666</v>
      </c>
      <c r="J169" s="139" t="s">
        <v>1457</v>
      </c>
      <c r="K169" s="22"/>
    </row>
    <row r="170" spans="2:11">
      <c r="B170" s="20" t="s">
        <v>351</v>
      </c>
      <c r="C170" s="2" t="s">
        <v>165</v>
      </c>
      <c r="D170" s="63" t="s">
        <v>494</v>
      </c>
      <c r="E170" s="112" t="s">
        <v>733</v>
      </c>
      <c r="F170" s="120" t="s">
        <v>916</v>
      </c>
      <c r="G170" s="129" t="s">
        <v>1100</v>
      </c>
      <c r="H170" s="136" t="s">
        <v>1278</v>
      </c>
      <c r="I170" s="136" t="s">
        <v>1667</v>
      </c>
      <c r="J170" s="138" t="s">
        <v>1458</v>
      </c>
      <c r="K170" s="22"/>
    </row>
    <row r="171" spans="2:11" ht="60">
      <c r="B171" s="20" t="s">
        <v>352</v>
      </c>
      <c r="C171" s="63" t="s">
        <v>495</v>
      </c>
      <c r="D171" s="63" t="s">
        <v>539</v>
      </c>
      <c r="E171" s="112" t="s">
        <v>734</v>
      </c>
      <c r="F171" s="123" t="s">
        <v>917</v>
      </c>
      <c r="G171" s="133" t="s">
        <v>1101</v>
      </c>
      <c r="H171" s="137" t="s">
        <v>1279</v>
      </c>
      <c r="I171" s="147" t="s">
        <v>1668</v>
      </c>
      <c r="J171" s="139" t="s">
        <v>1459</v>
      </c>
      <c r="K171" s="22"/>
    </row>
    <row r="172" spans="2:11">
      <c r="B172" s="20" t="s">
        <v>353</v>
      </c>
      <c r="C172" s="2" t="s">
        <v>180</v>
      </c>
      <c r="D172" s="63" t="s">
        <v>496</v>
      </c>
      <c r="E172" s="113" t="s">
        <v>735</v>
      </c>
      <c r="F172" s="120" t="s">
        <v>918</v>
      </c>
      <c r="G172" s="129" t="s">
        <v>1102</v>
      </c>
      <c r="H172" s="136" t="s">
        <v>1280</v>
      </c>
      <c r="I172" s="136" t="s">
        <v>1669</v>
      </c>
      <c r="J172" s="138" t="s">
        <v>1460</v>
      </c>
      <c r="K172" s="22"/>
    </row>
    <row r="173" spans="2:11">
      <c r="B173" s="20" t="s">
        <v>354</v>
      </c>
      <c r="C173" s="2" t="s">
        <v>179</v>
      </c>
      <c r="D173" s="63" t="s">
        <v>497</v>
      </c>
      <c r="E173" s="113" t="s">
        <v>736</v>
      </c>
      <c r="F173" s="120" t="s">
        <v>919</v>
      </c>
      <c r="G173" s="129" t="s">
        <v>1103</v>
      </c>
      <c r="H173" s="136" t="s">
        <v>1281</v>
      </c>
      <c r="I173" s="136" t="s">
        <v>1670</v>
      </c>
      <c r="J173" s="138" t="s">
        <v>1461</v>
      </c>
      <c r="K173" s="22"/>
    </row>
    <row r="174" spans="2:11">
      <c r="B174" s="20" t="s">
        <v>355</v>
      </c>
      <c r="C174" s="2" t="s">
        <v>181</v>
      </c>
      <c r="D174" s="63" t="s">
        <v>498</v>
      </c>
      <c r="E174" s="113" t="s">
        <v>737</v>
      </c>
      <c r="F174" s="120" t="s">
        <v>920</v>
      </c>
      <c r="G174" s="129" t="s">
        <v>1104</v>
      </c>
      <c r="H174" s="136" t="s">
        <v>1282</v>
      </c>
      <c r="I174" s="136" t="s">
        <v>1671</v>
      </c>
      <c r="J174" s="138" t="s">
        <v>1462</v>
      </c>
      <c r="K174" s="22"/>
    </row>
    <row r="175" spans="2:11">
      <c r="B175" s="20" t="s">
        <v>356</v>
      </c>
      <c r="C175" s="2" t="s">
        <v>182</v>
      </c>
      <c r="D175" s="63" t="s">
        <v>499</v>
      </c>
      <c r="E175" s="113" t="s">
        <v>738</v>
      </c>
      <c r="F175" s="120" t="s">
        <v>921</v>
      </c>
      <c r="G175" s="129" t="s">
        <v>1105</v>
      </c>
      <c r="H175" s="136" t="s">
        <v>1283</v>
      </c>
      <c r="I175" s="136" t="s">
        <v>1672</v>
      </c>
      <c r="J175" s="138" t="s">
        <v>1463</v>
      </c>
      <c r="K175" s="22"/>
    </row>
    <row r="176" spans="2:11" ht="30">
      <c r="B176" s="20" t="s">
        <v>358</v>
      </c>
      <c r="C176" s="63" t="s">
        <v>357</v>
      </c>
      <c r="D176" s="63" t="s">
        <v>500</v>
      </c>
      <c r="E176" s="112" t="s">
        <v>739</v>
      </c>
      <c r="F176" s="123" t="s">
        <v>922</v>
      </c>
      <c r="G176" s="133" t="s">
        <v>1106</v>
      </c>
      <c r="H176" s="137" t="s">
        <v>1284</v>
      </c>
      <c r="I176" s="148" t="s">
        <v>1673</v>
      </c>
      <c r="J176" s="139" t="s">
        <v>1464</v>
      </c>
      <c r="K176" s="22"/>
    </row>
    <row r="177" spans="2:11">
      <c r="B177" s="20" t="s">
        <v>359</v>
      </c>
      <c r="C177" s="2" t="s">
        <v>183</v>
      </c>
      <c r="D177" s="63" t="s">
        <v>501</v>
      </c>
      <c r="E177" s="112" t="s">
        <v>740</v>
      </c>
      <c r="F177" s="120" t="s">
        <v>923</v>
      </c>
      <c r="G177" s="129" t="s">
        <v>1107</v>
      </c>
      <c r="H177" s="136" t="s">
        <v>1285</v>
      </c>
      <c r="I177" s="136" t="s">
        <v>1674</v>
      </c>
      <c r="J177" s="138" t="s">
        <v>1465</v>
      </c>
      <c r="K177" s="22"/>
    </row>
    <row r="178" spans="2:11" ht="45">
      <c r="B178" s="20" t="s">
        <v>361</v>
      </c>
      <c r="C178" s="63" t="s">
        <v>187</v>
      </c>
      <c r="D178" s="63" t="s">
        <v>502</v>
      </c>
      <c r="E178" s="112" t="s">
        <v>741</v>
      </c>
      <c r="F178" s="123" t="s">
        <v>924</v>
      </c>
      <c r="G178" s="128" t="s">
        <v>1108</v>
      </c>
      <c r="H178" s="137" t="s">
        <v>1286</v>
      </c>
      <c r="I178" s="148" t="s">
        <v>1675</v>
      </c>
      <c r="J178" s="139" t="s">
        <v>1466</v>
      </c>
      <c r="K178" s="22"/>
    </row>
    <row r="179" spans="2:11">
      <c r="B179" s="20" t="s">
        <v>360</v>
      </c>
      <c r="C179" s="2" t="s">
        <v>184</v>
      </c>
      <c r="D179" s="63" t="s">
        <v>503</v>
      </c>
      <c r="E179" s="113" t="s">
        <v>742</v>
      </c>
      <c r="F179" s="120" t="s">
        <v>925</v>
      </c>
      <c r="G179" s="129" t="s">
        <v>1109</v>
      </c>
      <c r="H179" s="136" t="s">
        <v>1287</v>
      </c>
      <c r="I179" s="136" t="s">
        <v>1676</v>
      </c>
      <c r="J179" s="138" t="s">
        <v>1467</v>
      </c>
      <c r="K179" s="22"/>
    </row>
    <row r="180" spans="2:11" ht="30">
      <c r="B180" s="20" t="s">
        <v>362</v>
      </c>
      <c r="C180" s="2" t="s">
        <v>186</v>
      </c>
      <c r="D180" s="63" t="s">
        <v>504</v>
      </c>
      <c r="E180" s="111" t="s">
        <v>743</v>
      </c>
      <c r="F180" s="123" t="s">
        <v>926</v>
      </c>
      <c r="G180" s="129" t="s">
        <v>1110</v>
      </c>
      <c r="H180" s="136" t="s">
        <v>1288</v>
      </c>
      <c r="I180" s="136" t="s">
        <v>1677</v>
      </c>
      <c r="J180" s="138" t="s">
        <v>1468</v>
      </c>
      <c r="K180" s="22"/>
    </row>
    <row r="181" spans="2:11">
      <c r="B181" s="20" t="s">
        <v>363</v>
      </c>
      <c r="C181" s="2" t="s">
        <v>185</v>
      </c>
      <c r="D181" s="63" t="s">
        <v>505</v>
      </c>
      <c r="E181" s="111" t="s">
        <v>744</v>
      </c>
      <c r="F181" s="120" t="s">
        <v>927</v>
      </c>
      <c r="G181" s="129" t="s">
        <v>1111</v>
      </c>
      <c r="H181" s="136" t="s">
        <v>1289</v>
      </c>
      <c r="I181" s="136" t="s">
        <v>1678</v>
      </c>
      <c r="J181" s="138" t="s">
        <v>1469</v>
      </c>
      <c r="K181" s="22"/>
    </row>
    <row r="182" spans="2:11" ht="60">
      <c r="B182" s="20" t="s">
        <v>364</v>
      </c>
      <c r="C182" s="63" t="s">
        <v>506</v>
      </c>
      <c r="D182" s="63" t="s">
        <v>507</v>
      </c>
      <c r="E182" s="111" t="s">
        <v>745</v>
      </c>
      <c r="F182" s="123" t="s">
        <v>928</v>
      </c>
      <c r="G182" s="127" t="s">
        <v>1112</v>
      </c>
      <c r="H182" s="137" t="s">
        <v>1290</v>
      </c>
      <c r="I182" s="148" t="s">
        <v>1679</v>
      </c>
      <c r="J182" s="139" t="s">
        <v>1470</v>
      </c>
      <c r="K182" s="22"/>
    </row>
    <row r="183" spans="2:11" ht="45">
      <c r="B183" s="20" t="s">
        <v>365</v>
      </c>
      <c r="C183" s="63" t="s">
        <v>367</v>
      </c>
      <c r="D183" s="63" t="s">
        <v>508</v>
      </c>
      <c r="E183" s="112" t="s">
        <v>746</v>
      </c>
      <c r="F183" s="119" t="s">
        <v>929</v>
      </c>
      <c r="G183" s="128" t="s">
        <v>1113</v>
      </c>
      <c r="H183" s="137" t="s">
        <v>1291</v>
      </c>
      <c r="I183" s="148" t="s">
        <v>1680</v>
      </c>
      <c r="J183" s="139" t="s">
        <v>1471</v>
      </c>
      <c r="K183" s="22"/>
    </row>
    <row r="184" spans="2:11">
      <c r="B184" s="20" t="s">
        <v>366</v>
      </c>
      <c r="C184" s="2" t="s">
        <v>167</v>
      </c>
      <c r="D184" s="63" t="s">
        <v>509</v>
      </c>
      <c r="E184" s="112" t="s">
        <v>747</v>
      </c>
      <c r="F184" s="120" t="s">
        <v>930</v>
      </c>
      <c r="G184" s="129" t="s">
        <v>1114</v>
      </c>
      <c r="H184" s="136" t="s">
        <v>1292</v>
      </c>
      <c r="I184" s="136" t="s">
        <v>1681</v>
      </c>
      <c r="J184" s="138" t="s">
        <v>1472</v>
      </c>
      <c r="K184" s="22"/>
    </row>
    <row r="185" spans="2:11" ht="30">
      <c r="B185" s="20" t="s">
        <v>369</v>
      </c>
      <c r="C185" s="63" t="s">
        <v>368</v>
      </c>
      <c r="D185" s="63" t="s">
        <v>510</v>
      </c>
      <c r="E185" s="112" t="s">
        <v>748</v>
      </c>
      <c r="F185" s="123" t="s">
        <v>931</v>
      </c>
      <c r="G185" s="133" t="s">
        <v>1115</v>
      </c>
      <c r="H185" s="137" t="s">
        <v>1293</v>
      </c>
      <c r="I185" s="137" t="s">
        <v>1682</v>
      </c>
      <c r="J185" s="139" t="s">
        <v>1473</v>
      </c>
      <c r="K185" s="22"/>
    </row>
    <row r="186" spans="2:11" ht="30">
      <c r="B186" s="20" t="s">
        <v>370</v>
      </c>
      <c r="C186" s="63" t="s">
        <v>177</v>
      </c>
      <c r="D186" s="63" t="s">
        <v>511</v>
      </c>
      <c r="E186" s="112" t="s">
        <v>749</v>
      </c>
      <c r="F186" s="123" t="s">
        <v>932</v>
      </c>
      <c r="G186" s="133" t="s">
        <v>1116</v>
      </c>
      <c r="H186" s="137" t="s">
        <v>1294</v>
      </c>
      <c r="I186" s="137" t="s">
        <v>1683</v>
      </c>
      <c r="J186" s="139" t="s">
        <v>1474</v>
      </c>
      <c r="K186" s="22"/>
    </row>
    <row r="187" spans="2:11" ht="45">
      <c r="B187" s="20" t="s">
        <v>371</v>
      </c>
      <c r="C187" s="63" t="s">
        <v>176</v>
      </c>
      <c r="D187" s="63" t="s">
        <v>540</v>
      </c>
      <c r="E187" s="112" t="s">
        <v>750</v>
      </c>
      <c r="F187" s="119" t="s">
        <v>933</v>
      </c>
      <c r="G187" s="128" t="s">
        <v>1117</v>
      </c>
      <c r="H187" s="137" t="s">
        <v>1295</v>
      </c>
      <c r="I187" s="148" t="s">
        <v>1684</v>
      </c>
      <c r="J187" s="139" t="s">
        <v>1475</v>
      </c>
      <c r="K187" s="22"/>
    </row>
    <row r="188" spans="2:11" ht="30">
      <c r="B188" s="20" t="s">
        <v>372</v>
      </c>
      <c r="C188" s="2" t="s">
        <v>170</v>
      </c>
      <c r="D188" s="63" t="s">
        <v>512</v>
      </c>
      <c r="E188" s="111" t="s">
        <v>751</v>
      </c>
      <c r="F188" s="118" t="s">
        <v>934</v>
      </c>
      <c r="G188" s="127" t="s">
        <v>1118</v>
      </c>
      <c r="H188" s="137" t="s">
        <v>1296</v>
      </c>
      <c r="I188" s="138" t="s">
        <v>1685</v>
      </c>
      <c r="J188" s="138" t="s">
        <v>1476</v>
      </c>
      <c r="K188" s="22"/>
    </row>
    <row r="189" spans="2:11">
      <c r="B189" s="20" t="s">
        <v>373</v>
      </c>
      <c r="C189" s="2" t="s">
        <v>171</v>
      </c>
      <c r="D189" s="63" t="s">
        <v>513</v>
      </c>
      <c r="E189" s="113" t="s">
        <v>752</v>
      </c>
      <c r="F189" s="120" t="s">
        <v>935</v>
      </c>
      <c r="G189" s="129" t="s">
        <v>1119</v>
      </c>
      <c r="H189" s="136" t="s">
        <v>1297</v>
      </c>
      <c r="I189" s="136" t="s">
        <v>1686</v>
      </c>
      <c r="J189" s="138" t="s">
        <v>1477</v>
      </c>
      <c r="K189" s="22"/>
    </row>
    <row r="190" spans="2:11">
      <c r="B190" s="20" t="s">
        <v>374</v>
      </c>
      <c r="C190" s="2" t="s">
        <v>172</v>
      </c>
      <c r="D190" s="63" t="s">
        <v>514</v>
      </c>
      <c r="E190" s="113" t="s">
        <v>753</v>
      </c>
      <c r="F190" s="120" t="s">
        <v>936</v>
      </c>
      <c r="G190" s="129" t="s">
        <v>1120</v>
      </c>
      <c r="H190" s="136" t="s">
        <v>1298</v>
      </c>
      <c r="I190" s="136" t="s">
        <v>1687</v>
      </c>
      <c r="J190" s="138" t="s">
        <v>1478</v>
      </c>
      <c r="K190" s="22"/>
    </row>
    <row r="191" spans="2:11">
      <c r="B191" s="65" t="s">
        <v>375</v>
      </c>
      <c r="C191" s="2" t="s">
        <v>564</v>
      </c>
      <c r="D191" s="2" t="s">
        <v>565</v>
      </c>
      <c r="E191" s="113" t="s">
        <v>754</v>
      </c>
      <c r="F191" s="120" t="s">
        <v>937</v>
      </c>
      <c r="G191" s="129" t="s">
        <v>1121</v>
      </c>
      <c r="H191" s="136" t="s">
        <v>1299</v>
      </c>
      <c r="I191" s="136" t="s">
        <v>1688</v>
      </c>
      <c r="J191" s="138" t="s">
        <v>1479</v>
      </c>
      <c r="K191" s="58"/>
    </row>
    <row r="192" spans="2:11">
      <c r="B192" s="60" t="s">
        <v>197</v>
      </c>
      <c r="C192" s="63" t="s">
        <v>130</v>
      </c>
      <c r="D192" s="63" t="s">
        <v>515</v>
      </c>
      <c r="E192" s="113" t="s">
        <v>755</v>
      </c>
      <c r="F192" s="120" t="s">
        <v>938</v>
      </c>
      <c r="G192" s="129" t="s">
        <v>1122</v>
      </c>
      <c r="H192" s="136" t="s">
        <v>1300</v>
      </c>
      <c r="I192" s="136" t="s">
        <v>1689</v>
      </c>
      <c r="J192" s="139" t="s">
        <v>1480</v>
      </c>
    </row>
    <row r="193" spans="2:10">
      <c r="B193" s="60" t="s">
        <v>200</v>
      </c>
      <c r="C193" s="63" t="s">
        <v>78</v>
      </c>
      <c r="D193" s="63" t="s">
        <v>516</v>
      </c>
      <c r="E193" s="113" t="s">
        <v>756</v>
      </c>
      <c r="F193" s="120" t="s">
        <v>939</v>
      </c>
      <c r="G193" s="129" t="s">
        <v>1123</v>
      </c>
      <c r="H193" s="136" t="s">
        <v>1301</v>
      </c>
      <c r="I193" s="136" t="s">
        <v>1690</v>
      </c>
      <c r="J193" s="139" t="s">
        <v>1481</v>
      </c>
    </row>
    <row r="194" spans="2:10">
      <c r="B194" s="60" t="s">
        <v>201</v>
      </c>
      <c r="C194" s="63" t="s">
        <v>162</v>
      </c>
      <c r="D194" s="63" t="s">
        <v>517</v>
      </c>
      <c r="E194" s="113" t="s">
        <v>757</v>
      </c>
      <c r="F194" s="120" t="s">
        <v>940</v>
      </c>
      <c r="G194" s="129" t="s">
        <v>1124</v>
      </c>
      <c r="H194" s="136" t="s">
        <v>1302</v>
      </c>
      <c r="I194" s="136" t="s">
        <v>1691</v>
      </c>
      <c r="J194" s="139" t="s">
        <v>1482</v>
      </c>
    </row>
    <row r="195" spans="2:10">
      <c r="B195" s="60" t="s">
        <v>202</v>
      </c>
      <c r="C195" s="63" t="s">
        <v>163</v>
      </c>
      <c r="D195" s="63" t="s">
        <v>518</v>
      </c>
      <c r="E195" s="113" t="s">
        <v>758</v>
      </c>
      <c r="F195" s="120" t="s">
        <v>941</v>
      </c>
      <c r="G195" s="129" t="s">
        <v>1125</v>
      </c>
      <c r="H195" s="136" t="s">
        <v>1303</v>
      </c>
      <c r="I195" s="136" t="s">
        <v>1692</v>
      </c>
      <c r="J195" s="139" t="s">
        <v>1483</v>
      </c>
    </row>
    <row r="196" spans="2:10">
      <c r="B196" s="60" t="s">
        <v>203</v>
      </c>
      <c r="C196" s="63" t="s">
        <v>79</v>
      </c>
      <c r="D196" s="63" t="s">
        <v>519</v>
      </c>
      <c r="E196" s="113" t="s">
        <v>759</v>
      </c>
      <c r="F196" s="120" t="s">
        <v>759</v>
      </c>
      <c r="G196" s="129" t="s">
        <v>1126</v>
      </c>
      <c r="H196" s="136" t="s">
        <v>1304</v>
      </c>
      <c r="I196" s="136" t="s">
        <v>1693</v>
      </c>
      <c r="J196" s="139" t="s">
        <v>1484</v>
      </c>
    </row>
    <row r="197" spans="2:10">
      <c r="B197" s="60" t="s">
        <v>198</v>
      </c>
      <c r="C197" s="63" t="s">
        <v>133</v>
      </c>
      <c r="D197" s="63" t="s">
        <v>520</v>
      </c>
      <c r="E197" s="113" t="s">
        <v>760</v>
      </c>
      <c r="F197" s="120" t="s">
        <v>942</v>
      </c>
      <c r="G197" s="129" t="s">
        <v>1127</v>
      </c>
      <c r="H197" s="136" t="s">
        <v>1305</v>
      </c>
      <c r="I197" s="136" t="s">
        <v>1694</v>
      </c>
      <c r="J197" s="139" t="s">
        <v>1485</v>
      </c>
    </row>
    <row r="198" spans="2:10">
      <c r="B198" s="60" t="s">
        <v>204</v>
      </c>
      <c r="C198" s="63" t="s">
        <v>131</v>
      </c>
      <c r="D198" s="63" t="s">
        <v>521</v>
      </c>
      <c r="E198" s="113" t="s">
        <v>761</v>
      </c>
      <c r="F198" s="120" t="s">
        <v>943</v>
      </c>
      <c r="G198" s="129" t="s">
        <v>1128</v>
      </c>
      <c r="H198" s="136" t="s">
        <v>131</v>
      </c>
      <c r="I198" s="136" t="s">
        <v>1695</v>
      </c>
      <c r="J198" s="139" t="s">
        <v>1486</v>
      </c>
    </row>
    <row r="199" spans="2:10">
      <c r="B199" s="60" t="s">
        <v>205</v>
      </c>
      <c r="C199" s="63" t="s">
        <v>132</v>
      </c>
      <c r="D199" s="63" t="s">
        <v>522</v>
      </c>
      <c r="E199" s="113" t="s">
        <v>762</v>
      </c>
      <c r="F199" s="120" t="s">
        <v>944</v>
      </c>
      <c r="G199" s="129" t="s">
        <v>1129</v>
      </c>
      <c r="H199" s="136" t="s">
        <v>1306</v>
      </c>
      <c r="I199" s="136" t="s">
        <v>1696</v>
      </c>
      <c r="J199" s="139" t="s">
        <v>1487</v>
      </c>
    </row>
    <row r="200" spans="2:10">
      <c r="B200" s="60" t="s">
        <v>199</v>
      </c>
      <c r="C200" s="63" t="s">
        <v>134</v>
      </c>
      <c r="D200" s="63" t="s">
        <v>523</v>
      </c>
      <c r="E200" s="113" t="s">
        <v>763</v>
      </c>
      <c r="F200" s="120" t="s">
        <v>945</v>
      </c>
      <c r="G200" s="128" t="s">
        <v>1130</v>
      </c>
      <c r="H200" s="136" t="s">
        <v>1307</v>
      </c>
      <c r="I200" s="136" t="s">
        <v>1697</v>
      </c>
      <c r="J200" s="139" t="s">
        <v>1488</v>
      </c>
    </row>
    <row r="201" spans="2:10">
      <c r="B201" s="60" t="s">
        <v>206</v>
      </c>
      <c r="C201" s="63" t="s">
        <v>78</v>
      </c>
      <c r="D201" s="63" t="s">
        <v>516</v>
      </c>
      <c r="E201" s="113" t="s">
        <v>756</v>
      </c>
      <c r="F201" s="120" t="s">
        <v>946</v>
      </c>
      <c r="G201" s="129" t="s">
        <v>1123</v>
      </c>
      <c r="H201" s="136" t="s">
        <v>1301</v>
      </c>
      <c r="I201" s="136" t="s">
        <v>1690</v>
      </c>
      <c r="J201" s="139" t="s">
        <v>1481</v>
      </c>
    </row>
    <row r="202" spans="2:10">
      <c r="B202" s="60" t="s">
        <v>207</v>
      </c>
      <c r="C202" s="63" t="s">
        <v>162</v>
      </c>
      <c r="D202" s="63" t="s">
        <v>517</v>
      </c>
      <c r="E202" s="113" t="s">
        <v>757</v>
      </c>
      <c r="F202" s="120" t="s">
        <v>947</v>
      </c>
      <c r="G202" s="129" t="s">
        <v>1124</v>
      </c>
      <c r="H202" s="136" t="s">
        <v>1302</v>
      </c>
      <c r="I202" s="136" t="s">
        <v>1698</v>
      </c>
      <c r="J202" s="139" t="s">
        <v>1482</v>
      </c>
    </row>
    <row r="203" spans="2:10">
      <c r="B203" s="60" t="s">
        <v>208</v>
      </c>
      <c r="C203" s="63" t="s">
        <v>79</v>
      </c>
      <c r="D203" s="63" t="s">
        <v>519</v>
      </c>
      <c r="E203" s="113" t="s">
        <v>764</v>
      </c>
      <c r="F203" s="120" t="s">
        <v>764</v>
      </c>
      <c r="G203" s="129" t="s">
        <v>1126</v>
      </c>
      <c r="H203" s="136" t="s">
        <v>1304</v>
      </c>
      <c r="I203" s="136" t="s">
        <v>1699</v>
      </c>
      <c r="J203" s="139" t="s">
        <v>1484</v>
      </c>
    </row>
    <row r="250" spans="2:3">
      <c r="B250" s="6"/>
      <c r="C250" s="63"/>
    </row>
    <row r="251" spans="2:3">
      <c r="B251" s="6"/>
      <c r="C251" s="63"/>
    </row>
    <row r="252" spans="2:3">
      <c r="B252" s="6"/>
      <c r="C252" s="63"/>
    </row>
    <row r="253" spans="2:3">
      <c r="B253" s="6"/>
      <c r="C253" s="63"/>
    </row>
    <row r="254" spans="2:3">
      <c r="B254" s="6"/>
      <c r="C254" s="63"/>
    </row>
    <row r="255" spans="2:3">
      <c r="B255" s="6"/>
      <c r="C255" s="63"/>
    </row>
    <row r="256" spans="2:3">
      <c r="B256" s="6"/>
      <c r="C256" s="63"/>
    </row>
    <row r="257" spans="2:3">
      <c r="B257" s="6"/>
      <c r="C257" s="63"/>
    </row>
    <row r="258" spans="2:3">
      <c r="B258" s="6"/>
      <c r="C258" s="63"/>
    </row>
    <row r="259" spans="2:3">
      <c r="B259" s="6"/>
      <c r="C259" s="63"/>
    </row>
    <row r="260" spans="2:3">
      <c r="B260" s="6"/>
      <c r="C260" s="63"/>
    </row>
    <row r="261" spans="2:3">
      <c r="B261" s="6"/>
      <c r="C261" s="63"/>
    </row>
    <row r="262" spans="2:3">
      <c r="B262" s="6"/>
      <c r="C262" s="63"/>
    </row>
  </sheetData>
  <mergeCells count="1">
    <mergeCell ref="B6:K6"/>
  </mergeCells>
  <conditionalFormatting sqref="C40">
    <cfRule type="expression" dxfId="0" priority="2">
      <formula>MOD(ROW(),2)=0</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E9"/>
  <sheetViews>
    <sheetView workbookViewId="0"/>
  </sheetViews>
  <sheetFormatPr baseColWidth="10" defaultColWidth="11" defaultRowHeight="15"/>
  <cols>
    <col min="1" max="1" width="3.625" style="2" customWidth="1"/>
    <col min="2" max="2" width="15.625" style="2" customWidth="1"/>
    <col min="3" max="3" width="10.625" style="2" customWidth="1"/>
    <col min="4" max="4" width="60.625" style="2" customWidth="1"/>
    <col min="5" max="5" width="15.625" style="2" customWidth="1"/>
    <col min="6" max="16384" width="11" style="2"/>
  </cols>
  <sheetData>
    <row r="2" spans="2:5" ht="18.75">
      <c r="B2" s="66" t="str">
        <f>VLOOKUP("General_Header",Hidden_Translations!$B$11:$J$129,Hidden_Translations!$C$8,FALSE)</f>
        <v>Improving Cold Chain Energy Efficiency (ICCEE project)</v>
      </c>
      <c r="C2" s="28"/>
      <c r="D2" s="28"/>
      <c r="E2" s="28"/>
    </row>
    <row r="4" spans="2:5" ht="18.75">
      <c r="B4" s="35" t="str">
        <f>VLOOKUP("Versions_Header",Hidden_Translations!$B$11:$J$129,Hidden_Translations!$C$8,FALSE)</f>
        <v>#5: NEB Evaluator: Versions</v>
      </c>
      <c r="C4" s="35"/>
      <c r="D4" s="35"/>
      <c r="E4" s="35"/>
    </row>
    <row r="6" spans="2:5">
      <c r="B6" s="2" t="str">
        <f>VLOOKUP("Versions_Header_Text",Hidden_Translations!$B$11:$J$129,Hidden_Translations!$C$8,FALSE)</f>
        <v>Version history</v>
      </c>
    </row>
    <row r="8" spans="2:5">
      <c r="B8" s="67" t="str">
        <f>VLOOKUP("Versions_Table_Heading_Date",Hidden_Translations!$B$11:$J$129,Hidden_Translations!$C$8,FALSE)</f>
        <v>Date</v>
      </c>
      <c r="C8" s="67" t="str">
        <f>VLOOKUP("Versions_Table_Heading_Version",Hidden_Translations!$B$11:$J$129,Hidden_Translations!$C$8,FALSE)</f>
        <v>Version</v>
      </c>
      <c r="D8" s="67" t="str">
        <f>VLOOKUP("Versions_Table_Heading_Change",Hidden_Translations!$B$11:$J$129,Hidden_Translations!$C$8,FALSE)</f>
        <v>Change</v>
      </c>
      <c r="E8" s="70" t="str">
        <f>VLOOKUP("Versions_Table_Heading_Changeby",Hidden_Translations!$B$11:$J$129,Hidden_Translations!$C$8,FALSE)</f>
        <v>Change by</v>
      </c>
    </row>
    <row r="9" spans="2:5">
      <c r="B9" s="151">
        <v>44316</v>
      </c>
      <c r="C9" s="152" t="s">
        <v>1700</v>
      </c>
      <c r="D9" s="153" t="s">
        <v>1701</v>
      </c>
      <c r="E9" s="154" t="s">
        <v>1702</v>
      </c>
    </row>
  </sheetData>
  <sheetProtection selectLockedCells="1"/>
  <pageMargins left="0.7" right="0.7" top="0.78740157499999996" bottom="0.78740157499999996" header="0.3" footer="0.3"/>
  <pageSetup paperSize="9"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4249A7D4872E438EB3611EF6186F3D" ma:contentTypeVersion="8" ma:contentTypeDescription="Creare un nuovo documento." ma:contentTypeScope="" ma:versionID="a1bdab1ea344c19ab084f692ff5def7e">
  <xsd:schema xmlns:xsd="http://www.w3.org/2001/XMLSchema" xmlns:xs="http://www.w3.org/2001/XMLSchema" xmlns:p="http://schemas.microsoft.com/office/2006/metadata/properties" xmlns:ns2="92905c91-008d-409b-95bc-0054c142e13d" targetNamespace="http://schemas.microsoft.com/office/2006/metadata/properties" ma:root="true" ma:fieldsID="9fb5d15ff7bef39423e852df8039de42" ns2:_="">
    <xsd:import namespace="92905c91-008d-409b-95bc-0054c142e1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05c91-008d-409b-95bc-0054c142e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ED41B9-3173-4526-85C1-C11CF067A2D1}">
  <ds:schemaRefs>
    <ds:schemaRef ds:uri="http://schemas.microsoft.com/sharepoint/v3/contenttype/forms"/>
  </ds:schemaRefs>
</ds:datastoreItem>
</file>

<file path=customXml/itemProps2.xml><?xml version="1.0" encoding="utf-8"?>
<ds:datastoreItem xmlns:ds="http://schemas.openxmlformats.org/officeDocument/2006/customXml" ds:itemID="{5E8D21B4-7ECC-4ECD-B43E-A0C0F03056A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92905c91-008d-409b-95bc-0054c142e13d"/>
    <ds:schemaRef ds:uri="http://www.w3.org/XML/1998/namespace"/>
  </ds:schemaRefs>
</ds:datastoreItem>
</file>

<file path=customXml/itemProps3.xml><?xml version="1.0" encoding="utf-8"?>
<ds:datastoreItem xmlns:ds="http://schemas.openxmlformats.org/officeDocument/2006/customXml" ds:itemID="{E7D8BC66-3539-4FEF-AC10-D340CB896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05c91-008d-409b-95bc-0054c142e1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Info</vt:lpstr>
      <vt:lpstr>Identification</vt:lpstr>
      <vt:lpstr>Analysis</vt:lpstr>
      <vt:lpstr>Hidden_Lists</vt:lpstr>
      <vt:lpstr>Hidden_Translations</vt:lpstr>
      <vt:lpstr>Hidden_Versions</vt:lpstr>
      <vt:lpstr>Analysis!Druckbereich</vt:lpstr>
      <vt:lpstr>Identification!Druckbereich</vt:lpstr>
      <vt:lpstr>Info!Druckbereich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Neusel, Lisa</cp:lastModifiedBy>
  <cp:revision/>
  <cp:lastPrinted>2021-04-27T08:25:08Z</cp:lastPrinted>
  <dcterms:created xsi:type="dcterms:W3CDTF">2020-04-02T10:24:41Z</dcterms:created>
  <dcterms:modified xsi:type="dcterms:W3CDTF">2021-04-28T07:36:43Z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0x0101001C4249A7D4872E438EB3611EF6186F3D</vt:lpwstr>
  </property>
</Properties>
</file>